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EXT\YQ\"/>
    </mc:Choice>
  </mc:AlternateContent>
  <xr:revisionPtr revIDLastSave="0" documentId="8_{F346B310-083E-4F34-B640-92930DA499D2}" xr6:coauthVersionLast="47" xr6:coauthVersionMax="47" xr10:uidLastSave="{00000000-0000-0000-0000-000000000000}"/>
  <bookViews>
    <workbookView xWindow="-15" yWindow="-735" windowWidth="38430" windowHeight="21285" tabRatio="500" xr2:uid="{00000000-000D-0000-FFFF-FFFF00000000}"/>
  </bookViews>
  <sheets>
    <sheet name="Presentation View" sheetId="1" r:id="rId1"/>
    <sheet name="Filterable View" sheetId="2" r:id="rId2"/>
    <sheet name="GFATM Mapping Notes" sheetId="4" state="hidden" r:id="rId3"/>
    <sheet name="Spectrum Inputs" sheetId="5" r:id="rId4"/>
  </sheets>
  <definedNames>
    <definedName name="_xlnm._FilterDatabase" localSheetId="1" hidden="1">'Filterable View'!$A$3:$AE$97</definedName>
    <definedName name="_xlnm.Print_Area" localSheetId="0">'Presentation View'!$A$1:$AE$97</definedName>
    <definedName name="_xlnm.Print_Titles" localSheetId="0">'Presentation View'!$1:$3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97" i="2" l="1"/>
  <c r="X97" i="2"/>
  <c r="T97" i="2"/>
  <c r="P97" i="2"/>
  <c r="L97" i="2"/>
  <c r="J97" i="2"/>
  <c r="U97" i="2" s="1"/>
  <c r="I97" i="2"/>
  <c r="AB96" i="2"/>
  <c r="X96" i="2"/>
  <c r="T96" i="2"/>
  <c r="P96" i="2"/>
  <c r="L96" i="2"/>
  <c r="I96" i="2"/>
  <c r="AB95" i="2"/>
  <c r="X95" i="2"/>
  <c r="T95" i="2"/>
  <c r="P95" i="2"/>
  <c r="L95" i="2"/>
  <c r="J95" i="2"/>
  <c r="I95" i="2"/>
  <c r="J94" i="2"/>
  <c r="Y94" i="2" s="1"/>
  <c r="AC93" i="2"/>
  <c r="AB93" i="2"/>
  <c r="Y93" i="2"/>
  <c r="X93" i="2"/>
  <c r="U93" i="2"/>
  <c r="T93" i="2"/>
  <c r="Q93" i="2"/>
  <c r="P93" i="2"/>
  <c r="M93" i="2"/>
  <c r="L93" i="2"/>
  <c r="J93" i="2"/>
  <c r="AC92" i="2"/>
  <c r="AB92" i="2"/>
  <c r="Y92" i="2"/>
  <c r="X92" i="2"/>
  <c r="U92" i="2"/>
  <c r="T92" i="2"/>
  <c r="Q92" i="2"/>
  <c r="P92" i="2"/>
  <c r="M92" i="2"/>
  <c r="N92" i="2" s="1"/>
  <c r="L92" i="2"/>
  <c r="J92" i="2"/>
  <c r="H92" i="2"/>
  <c r="AC91" i="2"/>
  <c r="AB91" i="2"/>
  <c r="Y91" i="2"/>
  <c r="X91" i="2"/>
  <c r="U91" i="2"/>
  <c r="T91" i="2"/>
  <c r="Q91" i="2"/>
  <c r="O91" i="2" s="1"/>
  <c r="P91" i="2"/>
  <c r="M91" i="2"/>
  <c r="L91" i="2"/>
  <c r="J91" i="2"/>
  <c r="I91" i="2"/>
  <c r="J90" i="2"/>
  <c r="AD89" i="2"/>
  <c r="Z89" i="2"/>
  <c r="V89" i="2"/>
  <c r="R89" i="2"/>
  <c r="N89" i="2"/>
  <c r="AD88" i="2"/>
  <c r="Z88" i="2"/>
  <c r="V88" i="2"/>
  <c r="R88" i="2"/>
  <c r="N88" i="2"/>
  <c r="AD87" i="2"/>
  <c r="Z87" i="2"/>
  <c r="V87" i="2"/>
  <c r="R87" i="2"/>
  <c r="N87" i="2"/>
  <c r="AD86" i="2"/>
  <c r="Z86" i="2"/>
  <c r="V86" i="2"/>
  <c r="R86" i="2"/>
  <c r="N86" i="2"/>
  <c r="AD85" i="2"/>
  <c r="Z85" i="2"/>
  <c r="V85" i="2"/>
  <c r="R85" i="2"/>
  <c r="N85" i="2"/>
  <c r="AD84" i="2"/>
  <c r="Z84" i="2"/>
  <c r="V84" i="2"/>
  <c r="R84" i="2"/>
  <c r="N84" i="2"/>
  <c r="AD83" i="2"/>
  <c r="Z83" i="2"/>
  <c r="V83" i="2"/>
  <c r="R83" i="2"/>
  <c r="N83" i="2"/>
  <c r="AB82" i="2"/>
  <c r="X82" i="2"/>
  <c r="T82" i="2"/>
  <c r="P82" i="2"/>
  <c r="L82" i="2"/>
  <c r="J82" i="2"/>
  <c r="I82" i="2"/>
  <c r="AB81" i="2"/>
  <c r="X81" i="2"/>
  <c r="T81" i="2"/>
  <c r="P81" i="2"/>
  <c r="L81" i="2"/>
  <c r="J81" i="2"/>
  <c r="Y81" i="2" s="1"/>
  <c r="I80" i="2"/>
  <c r="T80" i="2" s="1"/>
  <c r="I79" i="2"/>
  <c r="P79" i="2" s="1"/>
  <c r="AC78" i="2"/>
  <c r="Y78" i="2"/>
  <c r="U78" i="2"/>
  <c r="Q78" i="2"/>
  <c r="M78" i="2"/>
  <c r="I78" i="2"/>
  <c r="AB78" i="2" s="1"/>
  <c r="H78" i="2"/>
  <c r="I77" i="2"/>
  <c r="T77" i="2" s="1"/>
  <c r="H77" i="2"/>
  <c r="AB76" i="2"/>
  <c r="AA76" i="2"/>
  <c r="X76" i="2"/>
  <c r="W76" i="2"/>
  <c r="T76" i="2"/>
  <c r="S76" i="2"/>
  <c r="U76" i="2" s="1"/>
  <c r="P76" i="2"/>
  <c r="O76" i="2"/>
  <c r="L76" i="2"/>
  <c r="K76" i="2"/>
  <c r="I76" i="2"/>
  <c r="H76" i="2"/>
  <c r="AB75" i="2"/>
  <c r="AA75" i="2"/>
  <c r="X75" i="2"/>
  <c r="W75" i="2"/>
  <c r="T75" i="2"/>
  <c r="S75" i="2"/>
  <c r="P75" i="2"/>
  <c r="O75" i="2"/>
  <c r="L75" i="2"/>
  <c r="K75" i="2"/>
  <c r="I75" i="2"/>
  <c r="H75" i="2"/>
  <c r="AB74" i="2"/>
  <c r="AA74" i="2"/>
  <c r="X74" i="2"/>
  <c r="W74" i="2"/>
  <c r="Y74" i="2" s="1"/>
  <c r="T74" i="2"/>
  <c r="S74" i="2"/>
  <c r="P74" i="2"/>
  <c r="O74" i="2"/>
  <c r="L74" i="2"/>
  <c r="K74" i="2"/>
  <c r="I74" i="2"/>
  <c r="H74" i="2"/>
  <c r="AB73" i="2"/>
  <c r="AA73" i="2"/>
  <c r="X73" i="2"/>
  <c r="W73" i="2"/>
  <c r="Y73" i="2" s="1"/>
  <c r="T73" i="2"/>
  <c r="S73" i="2"/>
  <c r="P73" i="2"/>
  <c r="O73" i="2"/>
  <c r="L73" i="2"/>
  <c r="K73" i="2"/>
  <c r="M73" i="2" s="1"/>
  <c r="I73" i="2"/>
  <c r="H73" i="2"/>
  <c r="AB72" i="2"/>
  <c r="AA72" i="2"/>
  <c r="X72" i="2"/>
  <c r="W72" i="2"/>
  <c r="T72" i="2"/>
  <c r="S72" i="2"/>
  <c r="P72" i="2"/>
  <c r="O72" i="2"/>
  <c r="L72" i="2"/>
  <c r="K72" i="2"/>
  <c r="M72" i="2" s="1"/>
  <c r="I72" i="2"/>
  <c r="H72" i="2"/>
  <c r="AD71" i="2"/>
  <c r="Z71" i="2"/>
  <c r="V71" i="2"/>
  <c r="R71" i="2"/>
  <c r="N71" i="2"/>
  <c r="AD70" i="2"/>
  <c r="Z70" i="2"/>
  <c r="V70" i="2"/>
  <c r="R70" i="2"/>
  <c r="N70" i="2"/>
  <c r="AD69" i="2"/>
  <c r="AA69" i="2"/>
  <c r="Z69" i="2"/>
  <c r="W69" i="2"/>
  <c r="V69" i="2"/>
  <c r="S69" i="2"/>
  <c r="R69" i="2"/>
  <c r="O69" i="2"/>
  <c r="N69" i="2"/>
  <c r="K69" i="2"/>
  <c r="H69" i="2"/>
  <c r="AD68" i="2"/>
  <c r="AA68" i="2"/>
  <c r="Z68" i="2"/>
  <c r="W68" i="2"/>
  <c r="V68" i="2"/>
  <c r="S68" i="2"/>
  <c r="R68" i="2"/>
  <c r="O68" i="2"/>
  <c r="N68" i="2"/>
  <c r="K68" i="2"/>
  <c r="H68" i="2"/>
  <c r="AD67" i="2"/>
  <c r="AA67" i="2"/>
  <c r="Z67" i="2"/>
  <c r="W67" i="2"/>
  <c r="V67" i="2"/>
  <c r="S67" i="2"/>
  <c r="R67" i="2"/>
  <c r="O67" i="2"/>
  <c r="N67" i="2"/>
  <c r="K67" i="2"/>
  <c r="H67" i="2"/>
  <c r="AD66" i="2"/>
  <c r="AA66" i="2"/>
  <c r="Z66" i="2"/>
  <c r="W66" i="2"/>
  <c r="V66" i="2"/>
  <c r="S66" i="2"/>
  <c r="R66" i="2"/>
  <c r="O66" i="2"/>
  <c r="N66" i="2"/>
  <c r="K66" i="2"/>
  <c r="H66" i="2"/>
  <c r="AD65" i="2"/>
  <c r="AA65" i="2"/>
  <c r="Z65" i="2"/>
  <c r="W65" i="2"/>
  <c r="V65" i="2"/>
  <c r="S65" i="2"/>
  <c r="R65" i="2"/>
  <c r="O65" i="2"/>
  <c r="N65" i="2"/>
  <c r="K65" i="2"/>
  <c r="H65" i="2"/>
  <c r="AD64" i="2"/>
  <c r="AA64" i="2"/>
  <c r="Z64" i="2"/>
  <c r="W64" i="2"/>
  <c r="V64" i="2"/>
  <c r="S64" i="2"/>
  <c r="R64" i="2"/>
  <c r="O64" i="2"/>
  <c r="N64" i="2"/>
  <c r="K64" i="2"/>
  <c r="H64" i="2"/>
  <c r="AD63" i="2"/>
  <c r="AA63" i="2"/>
  <c r="Z63" i="2"/>
  <c r="W63" i="2"/>
  <c r="V63" i="2"/>
  <c r="S63" i="2"/>
  <c r="R63" i="2"/>
  <c r="O63" i="2"/>
  <c r="N63" i="2"/>
  <c r="K63" i="2"/>
  <c r="H63" i="2"/>
  <c r="AD62" i="2"/>
  <c r="AA62" i="2"/>
  <c r="Z62" i="2"/>
  <c r="W62" i="2"/>
  <c r="V62" i="2"/>
  <c r="S62" i="2"/>
  <c r="R62" i="2"/>
  <c r="O62" i="2"/>
  <c r="N62" i="2"/>
  <c r="K62" i="2"/>
  <c r="H62" i="2"/>
  <c r="AD61" i="2"/>
  <c r="AA61" i="2"/>
  <c r="Z61" i="2"/>
  <c r="W61" i="2"/>
  <c r="V61" i="2"/>
  <c r="S61" i="2"/>
  <c r="R61" i="2"/>
  <c r="O61" i="2"/>
  <c r="N61" i="2"/>
  <c r="K61" i="2"/>
  <c r="H61" i="2"/>
  <c r="AC60" i="2"/>
  <c r="Y60" i="2"/>
  <c r="U60" i="2"/>
  <c r="Q60" i="2"/>
  <c r="M60" i="2"/>
  <c r="J60" i="2"/>
  <c r="AD59" i="2"/>
  <c r="AA59" i="2"/>
  <c r="Z59" i="2"/>
  <c r="W59" i="2"/>
  <c r="V59" i="2"/>
  <c r="S59" i="2"/>
  <c r="R59" i="2"/>
  <c r="O59" i="2"/>
  <c r="N59" i="2"/>
  <c r="K59" i="2"/>
  <c r="H59" i="2"/>
  <c r="AD58" i="2"/>
  <c r="AA58" i="2"/>
  <c r="Z58" i="2"/>
  <c r="W58" i="2"/>
  <c r="V58" i="2"/>
  <c r="S58" i="2"/>
  <c r="R58" i="2"/>
  <c r="O58" i="2"/>
  <c r="N58" i="2"/>
  <c r="K58" i="2"/>
  <c r="H58" i="2"/>
  <c r="J57" i="2"/>
  <c r="AD57" i="2" s="1"/>
  <c r="AD56" i="2"/>
  <c r="Z56" i="2"/>
  <c r="V56" i="2"/>
  <c r="R56" i="2"/>
  <c r="N56" i="2"/>
  <c r="AD55" i="2"/>
  <c r="Z55" i="2"/>
  <c r="V55" i="2"/>
  <c r="R55" i="2"/>
  <c r="N55" i="2"/>
  <c r="AD54" i="2"/>
  <c r="Z54" i="2"/>
  <c r="V54" i="2"/>
  <c r="R54" i="2"/>
  <c r="N54" i="2"/>
  <c r="AD53" i="2"/>
  <c r="Z53" i="2"/>
  <c r="V53" i="2"/>
  <c r="R53" i="2"/>
  <c r="N53" i="2"/>
  <c r="AD52" i="2"/>
  <c r="Z52" i="2"/>
  <c r="V52" i="2"/>
  <c r="R52" i="2"/>
  <c r="N52" i="2"/>
  <c r="AD51" i="2"/>
  <c r="Z51" i="2"/>
  <c r="V51" i="2"/>
  <c r="R51" i="2"/>
  <c r="N51" i="2"/>
  <c r="AD50" i="2"/>
  <c r="Z50" i="2"/>
  <c r="V50" i="2"/>
  <c r="R50" i="2"/>
  <c r="N50" i="2"/>
  <c r="AD49" i="2"/>
  <c r="Z49" i="2"/>
  <c r="V49" i="2"/>
  <c r="R49" i="2"/>
  <c r="N49" i="2"/>
  <c r="AD48" i="2"/>
  <c r="Z48" i="2"/>
  <c r="V48" i="2"/>
  <c r="R48" i="2"/>
  <c r="N48" i="2"/>
  <c r="AC47" i="2"/>
  <c r="Y47" i="2"/>
  <c r="U47" i="2"/>
  <c r="Q47" i="2"/>
  <c r="M47" i="2"/>
  <c r="I47" i="2"/>
  <c r="H47" i="2"/>
  <c r="AC46" i="2"/>
  <c r="Y46" i="2"/>
  <c r="U46" i="2"/>
  <c r="Q46" i="2"/>
  <c r="M46" i="2"/>
  <c r="I46" i="2"/>
  <c r="H46" i="2"/>
  <c r="AC45" i="2"/>
  <c r="Y45" i="2"/>
  <c r="U45" i="2"/>
  <c r="Q45" i="2"/>
  <c r="M45" i="2"/>
  <c r="I45" i="2"/>
  <c r="X45" i="2" s="1"/>
  <c r="H45" i="2"/>
  <c r="J45" i="2" s="1"/>
  <c r="P44" i="2"/>
  <c r="I44" i="2"/>
  <c r="H44" i="2"/>
  <c r="AC43" i="2"/>
  <c r="Y43" i="2"/>
  <c r="U43" i="2"/>
  <c r="Q43" i="2"/>
  <c r="M43" i="2"/>
  <c r="I43" i="2"/>
  <c r="T43" i="2" s="1"/>
  <c r="H43" i="2"/>
  <c r="AC42" i="2"/>
  <c r="Y42" i="2"/>
  <c r="U42" i="2"/>
  <c r="Q42" i="2"/>
  <c r="M42" i="2"/>
  <c r="I42" i="2"/>
  <c r="H42" i="2"/>
  <c r="AC41" i="2"/>
  <c r="Y41" i="2"/>
  <c r="U41" i="2"/>
  <c r="Q41" i="2"/>
  <c r="M41" i="2"/>
  <c r="I41" i="2"/>
  <c r="H41" i="2"/>
  <c r="AC40" i="2"/>
  <c r="Y40" i="2"/>
  <c r="U40" i="2"/>
  <c r="Q40" i="2"/>
  <c r="M40" i="2"/>
  <c r="I40" i="2"/>
  <c r="H40" i="2"/>
  <c r="I39" i="2"/>
  <c r="P39" i="2" s="1"/>
  <c r="H39" i="2"/>
  <c r="AC38" i="2"/>
  <c r="Y38" i="2"/>
  <c r="U38" i="2"/>
  <c r="Q38" i="2"/>
  <c r="M38" i="2"/>
  <c r="I38" i="2"/>
  <c r="L38" i="2" s="1"/>
  <c r="H38" i="2"/>
  <c r="AC37" i="2"/>
  <c r="AB37" i="2"/>
  <c r="Y37" i="2"/>
  <c r="X37" i="2"/>
  <c r="U37" i="2"/>
  <c r="T37" i="2"/>
  <c r="Q37" i="2"/>
  <c r="P37" i="2"/>
  <c r="M37" i="2"/>
  <c r="L37" i="2"/>
  <c r="J37" i="2"/>
  <c r="I37" i="2"/>
  <c r="AB36" i="2"/>
  <c r="AA36" i="2"/>
  <c r="X36" i="2"/>
  <c r="W36" i="2"/>
  <c r="T36" i="2"/>
  <c r="S36" i="2"/>
  <c r="P36" i="2"/>
  <c r="O36" i="2"/>
  <c r="L36" i="2"/>
  <c r="K36" i="2"/>
  <c r="I36" i="2"/>
  <c r="H36" i="2"/>
  <c r="AB35" i="2"/>
  <c r="AA35" i="2"/>
  <c r="X35" i="2"/>
  <c r="W35" i="2"/>
  <c r="T35" i="2"/>
  <c r="S35" i="2"/>
  <c r="P35" i="2"/>
  <c r="O35" i="2"/>
  <c r="L35" i="2"/>
  <c r="K35" i="2"/>
  <c r="I35" i="2"/>
  <c r="H35" i="2"/>
  <c r="AB34" i="2"/>
  <c r="AA34" i="2"/>
  <c r="X34" i="2"/>
  <c r="W34" i="2"/>
  <c r="T34" i="2"/>
  <c r="S34" i="2"/>
  <c r="P34" i="2"/>
  <c r="O34" i="2"/>
  <c r="L34" i="2"/>
  <c r="K34" i="2"/>
  <c r="I34" i="2"/>
  <c r="H34" i="2"/>
  <c r="AB33" i="2"/>
  <c r="AA33" i="2"/>
  <c r="X33" i="2"/>
  <c r="W33" i="2"/>
  <c r="T33" i="2"/>
  <c r="S33" i="2"/>
  <c r="P33" i="2"/>
  <c r="O33" i="2"/>
  <c r="L33" i="2"/>
  <c r="K33" i="2"/>
  <c r="I33" i="2"/>
  <c r="H33" i="2"/>
  <c r="AB32" i="2"/>
  <c r="AA32" i="2"/>
  <c r="X32" i="2"/>
  <c r="W32" i="2"/>
  <c r="T32" i="2"/>
  <c r="S32" i="2"/>
  <c r="P32" i="2"/>
  <c r="O32" i="2"/>
  <c r="L32" i="2"/>
  <c r="K32" i="2"/>
  <c r="I32" i="2"/>
  <c r="H32" i="2"/>
  <c r="AB31" i="2"/>
  <c r="AA31" i="2"/>
  <c r="X31" i="2"/>
  <c r="W31" i="2"/>
  <c r="T31" i="2"/>
  <c r="S31" i="2"/>
  <c r="P31" i="2"/>
  <c r="O31" i="2"/>
  <c r="Q31" i="2" s="1"/>
  <c r="L31" i="2"/>
  <c r="K31" i="2"/>
  <c r="I31" i="2"/>
  <c r="H31" i="2"/>
  <c r="AB30" i="2"/>
  <c r="AA30" i="2"/>
  <c r="AC30" i="2" s="1"/>
  <c r="X30" i="2"/>
  <c r="W30" i="2"/>
  <c r="T30" i="2"/>
  <c r="S30" i="2"/>
  <c r="P30" i="2"/>
  <c r="O30" i="2"/>
  <c r="Q30" i="2" s="1"/>
  <c r="L30" i="2"/>
  <c r="K30" i="2"/>
  <c r="I30" i="2"/>
  <c r="H30" i="2"/>
  <c r="AB29" i="2"/>
  <c r="AA29" i="2"/>
  <c r="X29" i="2"/>
  <c r="W29" i="2"/>
  <c r="T29" i="2"/>
  <c r="S29" i="2"/>
  <c r="P29" i="2"/>
  <c r="O29" i="2"/>
  <c r="L29" i="2"/>
  <c r="K29" i="2"/>
  <c r="I29" i="2"/>
  <c r="H29" i="2"/>
  <c r="AB28" i="2"/>
  <c r="AA28" i="2"/>
  <c r="X28" i="2"/>
  <c r="W28" i="2"/>
  <c r="T28" i="2"/>
  <c r="S28" i="2"/>
  <c r="P28" i="2"/>
  <c r="O28" i="2"/>
  <c r="Q28" i="2" s="1"/>
  <c r="L28" i="2"/>
  <c r="K28" i="2"/>
  <c r="I28" i="2"/>
  <c r="H28" i="2"/>
  <c r="AB27" i="2"/>
  <c r="AA27" i="2"/>
  <c r="AC27" i="2" s="1"/>
  <c r="X27" i="2"/>
  <c r="W27" i="2"/>
  <c r="T27" i="2"/>
  <c r="S27" i="2"/>
  <c r="P27" i="2"/>
  <c r="O27" i="2"/>
  <c r="L27" i="2"/>
  <c r="K27" i="2"/>
  <c r="I27" i="2"/>
  <c r="H27" i="2"/>
  <c r="AB26" i="2"/>
  <c r="AA26" i="2"/>
  <c r="X26" i="2"/>
  <c r="W26" i="2"/>
  <c r="T26" i="2"/>
  <c r="S26" i="2"/>
  <c r="P26" i="2"/>
  <c r="O26" i="2"/>
  <c r="Q26" i="2" s="1"/>
  <c r="L26" i="2"/>
  <c r="K26" i="2"/>
  <c r="I26" i="2"/>
  <c r="H26" i="2"/>
  <c r="AB25" i="2"/>
  <c r="AA25" i="2"/>
  <c r="AC25" i="2" s="1"/>
  <c r="X25" i="2"/>
  <c r="W25" i="2"/>
  <c r="T25" i="2"/>
  <c r="S25" i="2"/>
  <c r="P25" i="2"/>
  <c r="O25" i="2"/>
  <c r="Q25" i="2" s="1"/>
  <c r="L25" i="2"/>
  <c r="K25" i="2"/>
  <c r="I25" i="2"/>
  <c r="H25" i="2"/>
  <c r="AB24" i="2"/>
  <c r="AA24" i="2"/>
  <c r="X24" i="2"/>
  <c r="W24" i="2"/>
  <c r="T24" i="2"/>
  <c r="S24" i="2"/>
  <c r="P24" i="2"/>
  <c r="O24" i="2"/>
  <c r="Q24" i="2" s="1"/>
  <c r="L24" i="2"/>
  <c r="K24" i="2"/>
  <c r="I24" i="2"/>
  <c r="H24" i="2"/>
  <c r="AB23" i="2"/>
  <c r="AA23" i="2"/>
  <c r="X23" i="2"/>
  <c r="W23" i="2"/>
  <c r="T23" i="2"/>
  <c r="S23" i="2"/>
  <c r="P23" i="2"/>
  <c r="O23" i="2"/>
  <c r="L23" i="2"/>
  <c r="K23" i="2"/>
  <c r="I23" i="2"/>
  <c r="H23" i="2"/>
  <c r="AB22" i="2"/>
  <c r="AA22" i="2"/>
  <c r="X22" i="2"/>
  <c r="W22" i="2"/>
  <c r="T22" i="2"/>
  <c r="S22" i="2"/>
  <c r="P22" i="2"/>
  <c r="O22" i="2"/>
  <c r="L22" i="2"/>
  <c r="K22" i="2"/>
  <c r="I22" i="2"/>
  <c r="H22" i="2"/>
  <c r="AB21" i="2"/>
  <c r="AA21" i="2"/>
  <c r="X21" i="2"/>
  <c r="W21" i="2"/>
  <c r="T21" i="2"/>
  <c r="S21" i="2"/>
  <c r="P21" i="2"/>
  <c r="O21" i="2"/>
  <c r="L21" i="2"/>
  <c r="K21" i="2"/>
  <c r="I21" i="2"/>
  <c r="H21" i="2"/>
  <c r="AB20" i="2"/>
  <c r="AA20" i="2"/>
  <c r="X20" i="2"/>
  <c r="W20" i="2"/>
  <c r="T20" i="2"/>
  <c r="S20" i="2"/>
  <c r="P20" i="2"/>
  <c r="O20" i="2"/>
  <c r="L20" i="2"/>
  <c r="K20" i="2"/>
  <c r="I20" i="2"/>
  <c r="H20" i="2"/>
  <c r="AB19" i="2"/>
  <c r="AA19" i="2"/>
  <c r="X19" i="2"/>
  <c r="W19" i="2"/>
  <c r="T19" i="2"/>
  <c r="S19" i="2"/>
  <c r="P19" i="2"/>
  <c r="O19" i="2"/>
  <c r="Q19" i="2" s="1"/>
  <c r="L19" i="2"/>
  <c r="K19" i="2"/>
  <c r="I19" i="2"/>
  <c r="H19" i="2"/>
  <c r="AB18" i="2"/>
  <c r="AA18" i="2"/>
  <c r="X18" i="2"/>
  <c r="W18" i="2"/>
  <c r="T18" i="2"/>
  <c r="S18" i="2"/>
  <c r="P18" i="2"/>
  <c r="O18" i="2"/>
  <c r="Q18" i="2" s="1"/>
  <c r="L18" i="2"/>
  <c r="K18" i="2"/>
  <c r="I18" i="2"/>
  <c r="H18" i="2"/>
  <c r="I17" i="2"/>
  <c r="X17" i="2" s="1"/>
  <c r="H17" i="2"/>
  <c r="I16" i="2"/>
  <c r="P16" i="2" s="1"/>
  <c r="H16" i="2"/>
  <c r="I15" i="2"/>
  <c r="L15" i="2" s="1"/>
  <c r="H15" i="2"/>
  <c r="I14" i="2"/>
  <c r="AB14" i="2" s="1"/>
  <c r="H14" i="2"/>
  <c r="AB13" i="2"/>
  <c r="AA13" i="2"/>
  <c r="X13" i="2"/>
  <c r="W13" i="2"/>
  <c r="T13" i="2"/>
  <c r="S13" i="2"/>
  <c r="P13" i="2"/>
  <c r="O13" i="2"/>
  <c r="L13" i="2"/>
  <c r="K13" i="2"/>
  <c r="M13" i="2" s="1"/>
  <c r="I13" i="2"/>
  <c r="H13" i="2"/>
  <c r="AB12" i="2"/>
  <c r="AA12" i="2"/>
  <c r="X12" i="2"/>
  <c r="W12" i="2"/>
  <c r="T12" i="2"/>
  <c r="S12" i="2"/>
  <c r="P12" i="2"/>
  <c r="O12" i="2"/>
  <c r="L12" i="2"/>
  <c r="K12" i="2"/>
  <c r="I12" i="2"/>
  <c r="H12" i="2"/>
  <c r="AB11" i="2"/>
  <c r="AA11" i="2"/>
  <c r="X11" i="2"/>
  <c r="W11" i="2"/>
  <c r="Y11" i="2" s="1"/>
  <c r="T11" i="2"/>
  <c r="S11" i="2"/>
  <c r="P11" i="2"/>
  <c r="O11" i="2"/>
  <c r="L11" i="2"/>
  <c r="K11" i="2"/>
  <c r="I11" i="2"/>
  <c r="H11" i="2"/>
  <c r="AB10" i="2"/>
  <c r="AA10" i="2"/>
  <c r="X10" i="2"/>
  <c r="W10" i="2"/>
  <c r="T10" i="2"/>
  <c r="S10" i="2"/>
  <c r="P10" i="2"/>
  <c r="O10" i="2"/>
  <c r="L10" i="2"/>
  <c r="K10" i="2"/>
  <c r="I10" i="2"/>
  <c r="H10" i="2"/>
  <c r="AB9" i="2"/>
  <c r="AA9" i="2"/>
  <c r="X9" i="2"/>
  <c r="W9" i="2"/>
  <c r="T9" i="2"/>
  <c r="S9" i="2"/>
  <c r="P9" i="2"/>
  <c r="Q9" i="2" s="1"/>
  <c r="O9" i="2"/>
  <c r="L9" i="2"/>
  <c r="K9" i="2"/>
  <c r="I9" i="2"/>
  <c r="H9" i="2"/>
  <c r="AB8" i="2"/>
  <c r="AA8" i="2"/>
  <c r="X8" i="2"/>
  <c r="Y8" i="2" s="1"/>
  <c r="W8" i="2"/>
  <c r="T8" i="2"/>
  <c r="S8" i="2"/>
  <c r="P8" i="2"/>
  <c r="O8" i="2"/>
  <c r="L8" i="2"/>
  <c r="K8" i="2"/>
  <c r="I8" i="2"/>
  <c r="H8" i="2"/>
  <c r="AB7" i="2"/>
  <c r="AA7" i="2"/>
  <c r="X7" i="2"/>
  <c r="W7" i="2"/>
  <c r="T7" i="2"/>
  <c r="S7" i="2"/>
  <c r="P7" i="2"/>
  <c r="O7" i="2"/>
  <c r="L7" i="2"/>
  <c r="K7" i="2"/>
  <c r="I7" i="2"/>
  <c r="H7" i="2"/>
  <c r="AB6" i="2"/>
  <c r="AA6" i="2"/>
  <c r="AC6" i="2" s="1"/>
  <c r="X6" i="2"/>
  <c r="W6" i="2"/>
  <c r="T6" i="2"/>
  <c r="S6" i="2"/>
  <c r="P6" i="2"/>
  <c r="O6" i="2"/>
  <c r="Q6" i="2" s="1"/>
  <c r="L6" i="2"/>
  <c r="K6" i="2"/>
  <c r="I6" i="2"/>
  <c r="H6" i="2"/>
  <c r="AB5" i="2"/>
  <c r="AA5" i="2"/>
  <c r="X5" i="2"/>
  <c r="W5" i="2"/>
  <c r="T5" i="2"/>
  <c r="S5" i="2"/>
  <c r="P5" i="2"/>
  <c r="O5" i="2"/>
  <c r="L5" i="2"/>
  <c r="K5" i="2"/>
  <c r="I5" i="2"/>
  <c r="H5" i="2"/>
  <c r="AB4" i="2"/>
  <c r="AA4" i="2"/>
  <c r="X4" i="2"/>
  <c r="W4" i="2"/>
  <c r="T4" i="2"/>
  <c r="S4" i="2"/>
  <c r="P4" i="2"/>
  <c r="O4" i="2"/>
  <c r="L4" i="2"/>
  <c r="K4" i="2"/>
  <c r="I4" i="2"/>
  <c r="H4" i="2"/>
  <c r="AB97" i="1"/>
  <c r="X97" i="1"/>
  <c r="T97" i="1"/>
  <c r="P97" i="1"/>
  <c r="L97" i="1"/>
  <c r="J97" i="1"/>
  <c r="Y97" i="1" s="1"/>
  <c r="Z97" i="1" s="1"/>
  <c r="I97" i="1"/>
  <c r="AB96" i="1"/>
  <c r="X96" i="1"/>
  <c r="T96" i="1"/>
  <c r="P96" i="1"/>
  <c r="L96" i="1"/>
  <c r="I96" i="1"/>
  <c r="AB95" i="1"/>
  <c r="X95" i="1"/>
  <c r="T95" i="1"/>
  <c r="P95" i="1"/>
  <c r="L95" i="1"/>
  <c r="J95" i="1"/>
  <c r="U95" i="1" s="1"/>
  <c r="V95" i="1" s="1"/>
  <c r="I95" i="1"/>
  <c r="J94" i="1"/>
  <c r="AC93" i="1"/>
  <c r="AB93" i="1"/>
  <c r="Y93" i="1"/>
  <c r="X93" i="1"/>
  <c r="U93" i="1"/>
  <c r="T93" i="1"/>
  <c r="Q93" i="1"/>
  <c r="P93" i="1"/>
  <c r="M93" i="1"/>
  <c r="L93" i="1"/>
  <c r="J93" i="1"/>
  <c r="AC92" i="1"/>
  <c r="AB92" i="1"/>
  <c r="Y92" i="1"/>
  <c r="X92" i="1"/>
  <c r="U92" i="1"/>
  <c r="T92" i="1"/>
  <c r="Q92" i="1"/>
  <c r="P92" i="1"/>
  <c r="M92" i="1"/>
  <c r="L92" i="1"/>
  <c r="J92" i="1"/>
  <c r="AC91" i="1"/>
  <c r="AB91" i="1"/>
  <c r="Y91" i="1"/>
  <c r="X91" i="1"/>
  <c r="W91" i="1" s="1"/>
  <c r="U91" i="1"/>
  <c r="T91" i="1"/>
  <c r="Q91" i="1"/>
  <c r="P91" i="1"/>
  <c r="M91" i="1"/>
  <c r="L91" i="1"/>
  <c r="J91" i="1"/>
  <c r="I91" i="1"/>
  <c r="J90" i="1"/>
  <c r="AB82" i="1"/>
  <c r="X82" i="1"/>
  <c r="T82" i="1"/>
  <c r="P82" i="1"/>
  <c r="L82" i="1"/>
  <c r="J82" i="1"/>
  <c r="AC77" i="1" s="1"/>
  <c r="I82" i="1"/>
  <c r="AB81" i="1"/>
  <c r="X81" i="1"/>
  <c r="T81" i="1"/>
  <c r="P81" i="1"/>
  <c r="L81" i="1"/>
  <c r="J81" i="1"/>
  <c r="I80" i="1"/>
  <c r="T80" i="1" s="1"/>
  <c r="I79" i="1"/>
  <c r="T79" i="1" s="1"/>
  <c r="AC78" i="1"/>
  <c r="Y78" i="1"/>
  <c r="U78" i="1"/>
  <c r="Q78" i="1"/>
  <c r="M78" i="1"/>
  <c r="I78" i="1"/>
  <c r="AB78" i="1" s="1"/>
  <c r="H78" i="1"/>
  <c r="Y77" i="1"/>
  <c r="M77" i="1"/>
  <c r="I77" i="1"/>
  <c r="X77" i="1" s="1"/>
  <c r="H77" i="1"/>
  <c r="AB76" i="1"/>
  <c r="AA76" i="1"/>
  <c r="X76" i="1"/>
  <c r="W76" i="1"/>
  <c r="T76" i="1"/>
  <c r="S76" i="1"/>
  <c r="P76" i="1"/>
  <c r="O76" i="1"/>
  <c r="L76" i="1"/>
  <c r="K76" i="1"/>
  <c r="I76" i="1"/>
  <c r="H76" i="1"/>
  <c r="AB75" i="1"/>
  <c r="AA75" i="1"/>
  <c r="X75" i="1"/>
  <c r="W75" i="1"/>
  <c r="T75" i="1"/>
  <c r="S75" i="1"/>
  <c r="P75" i="1"/>
  <c r="O75" i="1"/>
  <c r="Q75" i="1" s="1"/>
  <c r="L75" i="1"/>
  <c r="K75" i="1"/>
  <c r="I75" i="1"/>
  <c r="H75" i="1"/>
  <c r="AB74" i="1"/>
  <c r="AA74" i="1"/>
  <c r="X74" i="1"/>
  <c r="W74" i="1"/>
  <c r="Y74" i="1" s="1"/>
  <c r="T74" i="1"/>
  <c r="S74" i="1"/>
  <c r="P74" i="1"/>
  <c r="O74" i="1"/>
  <c r="L74" i="1"/>
  <c r="K74" i="1"/>
  <c r="I74" i="1"/>
  <c r="H74" i="1"/>
  <c r="AB73" i="1"/>
  <c r="AA73" i="1"/>
  <c r="X73" i="1"/>
  <c r="W73" i="1"/>
  <c r="T73" i="1"/>
  <c r="S73" i="1"/>
  <c r="P73" i="1"/>
  <c r="O73" i="1"/>
  <c r="L73" i="1"/>
  <c r="K73" i="1"/>
  <c r="I73" i="1"/>
  <c r="H73" i="1"/>
  <c r="AB72" i="1"/>
  <c r="AA72" i="1"/>
  <c r="X72" i="1"/>
  <c r="W72" i="1"/>
  <c r="T72" i="1"/>
  <c r="S72" i="1"/>
  <c r="P72" i="1"/>
  <c r="O72" i="1"/>
  <c r="L72" i="1"/>
  <c r="K72" i="1"/>
  <c r="I72" i="1"/>
  <c r="H72" i="1"/>
  <c r="AD71" i="1"/>
  <c r="Z71" i="1"/>
  <c r="V71" i="1"/>
  <c r="R71" i="1"/>
  <c r="N71" i="1"/>
  <c r="AD70" i="1"/>
  <c r="Z70" i="1"/>
  <c r="V70" i="1"/>
  <c r="R70" i="1"/>
  <c r="N70" i="1"/>
  <c r="AD69" i="1"/>
  <c r="AA69" i="1"/>
  <c r="Z69" i="1"/>
  <c r="W69" i="1"/>
  <c r="V69" i="1"/>
  <c r="S69" i="1"/>
  <c r="R69" i="1"/>
  <c r="O69" i="1"/>
  <c r="N69" i="1"/>
  <c r="K69" i="1"/>
  <c r="H69" i="1"/>
  <c r="AD68" i="1"/>
  <c r="AA68" i="1"/>
  <c r="Z68" i="1"/>
  <c r="W68" i="1"/>
  <c r="V68" i="1"/>
  <c r="S68" i="1"/>
  <c r="R68" i="1"/>
  <c r="O68" i="1"/>
  <c r="N68" i="1"/>
  <c r="K68" i="1"/>
  <c r="H68" i="1"/>
  <c r="AD67" i="1"/>
  <c r="AA67" i="1"/>
  <c r="Z67" i="1"/>
  <c r="W67" i="1"/>
  <c r="V67" i="1"/>
  <c r="S67" i="1"/>
  <c r="R67" i="1"/>
  <c r="O67" i="1"/>
  <c r="N67" i="1"/>
  <c r="K67" i="1"/>
  <c r="H67" i="1"/>
  <c r="AD66" i="1"/>
  <c r="AA66" i="1"/>
  <c r="Z66" i="1"/>
  <c r="W66" i="1"/>
  <c r="V66" i="1"/>
  <c r="S66" i="1"/>
  <c r="R66" i="1"/>
  <c r="O66" i="1"/>
  <c r="N66" i="1"/>
  <c r="K66" i="1"/>
  <c r="H66" i="1"/>
  <c r="AD65" i="1"/>
  <c r="AA65" i="1"/>
  <c r="Z65" i="1"/>
  <c r="W65" i="1"/>
  <c r="V65" i="1"/>
  <c r="S65" i="1"/>
  <c r="R65" i="1"/>
  <c r="O65" i="1"/>
  <c r="N65" i="1"/>
  <c r="K65" i="1"/>
  <c r="H65" i="1"/>
  <c r="AD64" i="1"/>
  <c r="AA64" i="1"/>
  <c r="Z64" i="1"/>
  <c r="W64" i="1"/>
  <c r="V64" i="1"/>
  <c r="S64" i="1"/>
  <c r="R64" i="1"/>
  <c r="O64" i="1"/>
  <c r="N64" i="1"/>
  <c r="K64" i="1"/>
  <c r="H64" i="1"/>
  <c r="AD63" i="1"/>
  <c r="AA63" i="1"/>
  <c r="Z63" i="1"/>
  <c r="W63" i="1"/>
  <c r="V63" i="1"/>
  <c r="S63" i="1"/>
  <c r="R63" i="1"/>
  <c r="O63" i="1"/>
  <c r="N63" i="1"/>
  <c r="K63" i="1"/>
  <c r="H63" i="1"/>
  <c r="AD62" i="1"/>
  <c r="AA62" i="1"/>
  <c r="Z62" i="1"/>
  <c r="W62" i="1"/>
  <c r="V62" i="1"/>
  <c r="S62" i="1"/>
  <c r="R62" i="1"/>
  <c r="O62" i="1"/>
  <c r="N62" i="1"/>
  <c r="K62" i="1"/>
  <c r="H62" i="1"/>
  <c r="AD61" i="1"/>
  <c r="AA61" i="1"/>
  <c r="Z61" i="1"/>
  <c r="W61" i="1"/>
  <c r="V61" i="1"/>
  <c r="S61" i="1"/>
  <c r="R61" i="1"/>
  <c r="O61" i="1"/>
  <c r="N61" i="1"/>
  <c r="K61" i="1"/>
  <c r="H61" i="1"/>
  <c r="AC60" i="1"/>
  <c r="Y60" i="1"/>
  <c r="U60" i="1"/>
  <c r="Q60" i="1"/>
  <c r="M60" i="1"/>
  <c r="J60" i="1"/>
  <c r="V60" i="1" s="1"/>
  <c r="AD59" i="1"/>
  <c r="AA59" i="1"/>
  <c r="Z59" i="1"/>
  <c r="W59" i="1"/>
  <c r="V59" i="1"/>
  <c r="S59" i="1"/>
  <c r="R59" i="1"/>
  <c r="O59" i="1"/>
  <c r="N59" i="1"/>
  <c r="K59" i="1"/>
  <c r="H59" i="1"/>
  <c r="AD58" i="1"/>
  <c r="AA58" i="1"/>
  <c r="Z58" i="1"/>
  <c r="W58" i="1"/>
  <c r="V58" i="1"/>
  <c r="S58" i="1"/>
  <c r="R58" i="1"/>
  <c r="O58" i="1"/>
  <c r="N58" i="1"/>
  <c r="K58" i="1"/>
  <c r="H58" i="1"/>
  <c r="J57" i="1"/>
  <c r="V57" i="1" s="1"/>
  <c r="AD56" i="1"/>
  <c r="Z56" i="1"/>
  <c r="V56" i="1"/>
  <c r="R56" i="1"/>
  <c r="N56" i="1"/>
  <c r="AD55" i="1"/>
  <c r="Z55" i="1"/>
  <c r="V55" i="1"/>
  <c r="R55" i="1"/>
  <c r="N55" i="1"/>
  <c r="AD54" i="1"/>
  <c r="Z54" i="1"/>
  <c r="V54" i="1"/>
  <c r="R54" i="1"/>
  <c r="N54" i="1"/>
  <c r="AD53" i="1"/>
  <c r="Z53" i="1"/>
  <c r="V53" i="1"/>
  <c r="R53" i="1"/>
  <c r="N53" i="1"/>
  <c r="AD52" i="1"/>
  <c r="Z52" i="1"/>
  <c r="V52" i="1"/>
  <c r="R52" i="1"/>
  <c r="N52" i="1"/>
  <c r="AD51" i="1"/>
  <c r="Z51" i="1"/>
  <c r="V51" i="1"/>
  <c r="R51" i="1"/>
  <c r="N51" i="1"/>
  <c r="AD50" i="1"/>
  <c r="Z50" i="1"/>
  <c r="V50" i="1"/>
  <c r="R50" i="1"/>
  <c r="N50" i="1"/>
  <c r="AD49" i="1"/>
  <c r="Z49" i="1"/>
  <c r="V49" i="1"/>
  <c r="R49" i="1"/>
  <c r="N49" i="1"/>
  <c r="AD48" i="1"/>
  <c r="Z48" i="1"/>
  <c r="V48" i="1"/>
  <c r="R48" i="1"/>
  <c r="N48" i="1"/>
  <c r="AC47" i="1"/>
  <c r="Y47" i="1"/>
  <c r="U47" i="1"/>
  <c r="Q47" i="1"/>
  <c r="M47" i="1"/>
  <c r="I47" i="1"/>
  <c r="AB47" i="1" s="1"/>
  <c r="H47" i="1"/>
  <c r="J47" i="1" s="1"/>
  <c r="AC46" i="1"/>
  <c r="Y46" i="1"/>
  <c r="U46" i="1"/>
  <c r="Q46" i="1"/>
  <c r="M46" i="1"/>
  <c r="I46" i="1"/>
  <c r="X46" i="1" s="1"/>
  <c r="H46" i="1"/>
  <c r="AC45" i="1"/>
  <c r="Y45" i="1"/>
  <c r="U45" i="1"/>
  <c r="Q45" i="1"/>
  <c r="M45" i="1"/>
  <c r="I45" i="1"/>
  <c r="L45" i="1" s="1"/>
  <c r="H45" i="1"/>
  <c r="I44" i="1"/>
  <c r="H44" i="1"/>
  <c r="AC43" i="1"/>
  <c r="Y43" i="1"/>
  <c r="U43" i="1"/>
  <c r="Q43" i="1"/>
  <c r="M43" i="1"/>
  <c r="I43" i="1"/>
  <c r="X43" i="1" s="1"/>
  <c r="H43" i="1"/>
  <c r="AC42" i="1"/>
  <c r="Y42" i="1"/>
  <c r="U42" i="1"/>
  <c r="Q42" i="1"/>
  <c r="M42" i="1"/>
  <c r="I42" i="1"/>
  <c r="L42" i="1" s="1"/>
  <c r="H42" i="1"/>
  <c r="AC41" i="1"/>
  <c r="Y41" i="1"/>
  <c r="U41" i="1"/>
  <c r="Q41" i="1"/>
  <c r="M41" i="1"/>
  <c r="I41" i="1"/>
  <c r="H41" i="1"/>
  <c r="AC40" i="1"/>
  <c r="Y40" i="1"/>
  <c r="U40" i="1"/>
  <c r="Q40" i="1"/>
  <c r="M40" i="1"/>
  <c r="I40" i="1"/>
  <c r="X40" i="1" s="1"/>
  <c r="H40" i="1"/>
  <c r="I39" i="1"/>
  <c r="X39" i="1" s="1"/>
  <c r="H39" i="1"/>
  <c r="AC38" i="1"/>
  <c r="Y38" i="1"/>
  <c r="U38" i="1"/>
  <c r="Q38" i="1"/>
  <c r="M38" i="1"/>
  <c r="I38" i="1"/>
  <c r="X38" i="1" s="1"/>
  <c r="H38" i="1"/>
  <c r="AC37" i="1"/>
  <c r="AB37" i="1"/>
  <c r="Y37" i="1"/>
  <c r="X37" i="1"/>
  <c r="U37" i="1"/>
  <c r="T37" i="1"/>
  <c r="Q37" i="1"/>
  <c r="P37" i="1"/>
  <c r="M37" i="1"/>
  <c r="L37" i="1"/>
  <c r="J37" i="1"/>
  <c r="I37" i="1"/>
  <c r="AB36" i="1"/>
  <c r="AA36" i="1"/>
  <c r="X36" i="1"/>
  <c r="W36" i="1"/>
  <c r="Y36" i="1" s="1"/>
  <c r="T36" i="1"/>
  <c r="S36" i="1"/>
  <c r="P36" i="1"/>
  <c r="O36" i="1"/>
  <c r="L36" i="1"/>
  <c r="K36" i="1"/>
  <c r="I36" i="1"/>
  <c r="H36" i="1"/>
  <c r="AB35" i="1"/>
  <c r="AA35" i="1"/>
  <c r="X35" i="1"/>
  <c r="W35" i="1"/>
  <c r="T35" i="1"/>
  <c r="S35" i="1"/>
  <c r="P35" i="1"/>
  <c r="O35" i="1"/>
  <c r="L35" i="1"/>
  <c r="K35" i="1"/>
  <c r="I35" i="1"/>
  <c r="H35" i="1"/>
  <c r="AB34" i="1"/>
  <c r="AA34" i="1"/>
  <c r="X34" i="1"/>
  <c r="W34" i="1"/>
  <c r="T34" i="1"/>
  <c r="S34" i="1"/>
  <c r="P34" i="1"/>
  <c r="O34" i="1"/>
  <c r="L34" i="1"/>
  <c r="K34" i="1"/>
  <c r="I34" i="1"/>
  <c r="H34" i="1"/>
  <c r="AB33" i="1"/>
  <c r="AA33" i="1"/>
  <c r="X33" i="1"/>
  <c r="W33" i="1"/>
  <c r="T33" i="1"/>
  <c r="S33" i="1"/>
  <c r="P33" i="1"/>
  <c r="O33" i="1"/>
  <c r="L33" i="1"/>
  <c r="K33" i="1"/>
  <c r="M33" i="1" s="1"/>
  <c r="I33" i="1"/>
  <c r="H33" i="1"/>
  <c r="AB32" i="1"/>
  <c r="AA32" i="1"/>
  <c r="X32" i="1"/>
  <c r="W32" i="1"/>
  <c r="T32" i="1"/>
  <c r="S32" i="1"/>
  <c r="P32" i="1"/>
  <c r="O32" i="1"/>
  <c r="L32" i="1"/>
  <c r="K32" i="1"/>
  <c r="I32" i="1"/>
  <c r="H32" i="1"/>
  <c r="AB31" i="1"/>
  <c r="AA31" i="1"/>
  <c r="X31" i="1"/>
  <c r="W31" i="1"/>
  <c r="Y31" i="1" s="1"/>
  <c r="T31" i="1"/>
  <c r="S31" i="1"/>
  <c r="P31" i="1"/>
  <c r="O31" i="1"/>
  <c r="L31" i="1"/>
  <c r="K31" i="1"/>
  <c r="I31" i="1"/>
  <c r="H31" i="1"/>
  <c r="AB30" i="1"/>
  <c r="AA30" i="1"/>
  <c r="X30" i="1"/>
  <c r="W30" i="1"/>
  <c r="Y30" i="1" s="1"/>
  <c r="T30" i="1"/>
  <c r="S30" i="1"/>
  <c r="P30" i="1"/>
  <c r="O30" i="1"/>
  <c r="L30" i="1"/>
  <c r="K30" i="1"/>
  <c r="I30" i="1"/>
  <c r="H30" i="1"/>
  <c r="AB29" i="1"/>
  <c r="AA29" i="1"/>
  <c r="X29" i="1"/>
  <c r="W29" i="1"/>
  <c r="T29" i="1"/>
  <c r="S29" i="1"/>
  <c r="P29" i="1"/>
  <c r="O29" i="1"/>
  <c r="L29" i="1"/>
  <c r="K29" i="1"/>
  <c r="M29" i="1" s="1"/>
  <c r="I29" i="1"/>
  <c r="H29" i="1"/>
  <c r="AB28" i="1"/>
  <c r="AA28" i="1"/>
  <c r="X28" i="1"/>
  <c r="W28" i="1"/>
  <c r="Y28" i="1" s="1"/>
  <c r="T28" i="1"/>
  <c r="S28" i="1"/>
  <c r="P28" i="1"/>
  <c r="O28" i="1"/>
  <c r="L28" i="1"/>
  <c r="K28" i="1"/>
  <c r="M28" i="1" s="1"/>
  <c r="I28" i="1"/>
  <c r="H28" i="1"/>
  <c r="AB27" i="1"/>
  <c r="AA27" i="1"/>
  <c r="X27" i="1"/>
  <c r="W27" i="1"/>
  <c r="T27" i="1"/>
  <c r="S27" i="1"/>
  <c r="P27" i="1"/>
  <c r="O27" i="1"/>
  <c r="L27" i="1"/>
  <c r="K27" i="1"/>
  <c r="I27" i="1"/>
  <c r="H27" i="1"/>
  <c r="AB26" i="1"/>
  <c r="AA26" i="1"/>
  <c r="X26" i="1"/>
  <c r="W26" i="1"/>
  <c r="Y26" i="1" s="1"/>
  <c r="T26" i="1"/>
  <c r="S26" i="1"/>
  <c r="P26" i="1"/>
  <c r="O26" i="1"/>
  <c r="L26" i="1"/>
  <c r="K26" i="1"/>
  <c r="I26" i="1"/>
  <c r="H26" i="1"/>
  <c r="AB25" i="1"/>
  <c r="AA25" i="1"/>
  <c r="X25" i="1"/>
  <c r="W25" i="1"/>
  <c r="Y25" i="1" s="1"/>
  <c r="T25" i="1"/>
  <c r="S25" i="1"/>
  <c r="P25" i="1"/>
  <c r="O25" i="1"/>
  <c r="L25" i="1"/>
  <c r="K25" i="1"/>
  <c r="M25" i="1" s="1"/>
  <c r="I25" i="1"/>
  <c r="H25" i="1"/>
  <c r="AB24" i="1"/>
  <c r="AA24" i="1"/>
  <c r="X24" i="1"/>
  <c r="W24" i="1"/>
  <c r="T24" i="1"/>
  <c r="S24" i="1"/>
  <c r="P24" i="1"/>
  <c r="O24" i="1"/>
  <c r="L24" i="1"/>
  <c r="K24" i="1"/>
  <c r="I24" i="1"/>
  <c r="H24" i="1"/>
  <c r="AB23" i="1"/>
  <c r="AA23" i="1"/>
  <c r="X23" i="1"/>
  <c r="W23" i="1"/>
  <c r="T23" i="1"/>
  <c r="S23" i="1"/>
  <c r="P23" i="1"/>
  <c r="O23" i="1"/>
  <c r="L23" i="1"/>
  <c r="K23" i="1"/>
  <c r="M23" i="1" s="1"/>
  <c r="I23" i="1"/>
  <c r="H23" i="1"/>
  <c r="AB22" i="1"/>
  <c r="AA22" i="1"/>
  <c r="X22" i="1"/>
  <c r="W22" i="1"/>
  <c r="T22" i="1"/>
  <c r="S22" i="1"/>
  <c r="P22" i="1"/>
  <c r="O22" i="1"/>
  <c r="L22" i="1"/>
  <c r="K22" i="1"/>
  <c r="M22" i="1" s="1"/>
  <c r="I22" i="1"/>
  <c r="H22" i="1"/>
  <c r="AB21" i="1"/>
  <c r="AA21" i="1"/>
  <c r="X21" i="1"/>
  <c r="W21" i="1"/>
  <c r="T21" i="1"/>
  <c r="S21" i="1"/>
  <c r="P21" i="1"/>
  <c r="O21" i="1"/>
  <c r="L21" i="1"/>
  <c r="K21" i="1"/>
  <c r="I21" i="1"/>
  <c r="H21" i="1"/>
  <c r="AB20" i="1"/>
  <c r="AA20" i="1"/>
  <c r="X20" i="1"/>
  <c r="W20" i="1"/>
  <c r="Y20" i="1" s="1"/>
  <c r="T20" i="1"/>
  <c r="S20" i="1"/>
  <c r="P20" i="1"/>
  <c r="O20" i="1"/>
  <c r="L20" i="1"/>
  <c r="K20" i="1"/>
  <c r="I20" i="1"/>
  <c r="H20" i="1"/>
  <c r="AB19" i="1"/>
  <c r="AA19" i="1"/>
  <c r="X19" i="1"/>
  <c r="W19" i="1"/>
  <c r="T19" i="1"/>
  <c r="S19" i="1"/>
  <c r="P19" i="1"/>
  <c r="O19" i="1"/>
  <c r="L19" i="1"/>
  <c r="K19" i="1"/>
  <c r="I19" i="1"/>
  <c r="H19" i="1"/>
  <c r="AB18" i="1"/>
  <c r="AA18" i="1"/>
  <c r="X18" i="1"/>
  <c r="W18" i="1"/>
  <c r="T18" i="1"/>
  <c r="S18" i="1"/>
  <c r="P18" i="1"/>
  <c r="O18" i="1"/>
  <c r="L18" i="1"/>
  <c r="K18" i="1"/>
  <c r="I18" i="1"/>
  <c r="H18" i="1"/>
  <c r="I17" i="1"/>
  <c r="X17" i="1" s="1"/>
  <c r="H17" i="1"/>
  <c r="I16" i="1"/>
  <c r="X16" i="1" s="1"/>
  <c r="H16" i="1"/>
  <c r="I15" i="1"/>
  <c r="X15" i="1" s="1"/>
  <c r="H15" i="1"/>
  <c r="I14" i="1"/>
  <c r="H14" i="1"/>
  <c r="AB13" i="1"/>
  <c r="AA13" i="1"/>
  <c r="AC13" i="1" s="1"/>
  <c r="X13" i="1"/>
  <c r="W13" i="1"/>
  <c r="T13" i="1"/>
  <c r="S13" i="1"/>
  <c r="P13" i="1"/>
  <c r="O13" i="1"/>
  <c r="L13" i="1"/>
  <c r="K13" i="1"/>
  <c r="I13" i="1"/>
  <c r="H13" i="1"/>
  <c r="AB12" i="1"/>
  <c r="AA12" i="1"/>
  <c r="X12" i="1"/>
  <c r="W12" i="1"/>
  <c r="T12" i="1"/>
  <c r="S12" i="1"/>
  <c r="P12" i="1"/>
  <c r="O12" i="1"/>
  <c r="L12" i="1"/>
  <c r="K12" i="1"/>
  <c r="I12" i="1"/>
  <c r="H12" i="1"/>
  <c r="AB11" i="1"/>
  <c r="AA11" i="1"/>
  <c r="AC11" i="1" s="1"/>
  <c r="X11" i="1"/>
  <c r="W11" i="1"/>
  <c r="T11" i="1"/>
  <c r="S11" i="1"/>
  <c r="P11" i="1"/>
  <c r="O11" i="1"/>
  <c r="Q11" i="1" s="1"/>
  <c r="L11" i="1"/>
  <c r="K11" i="1"/>
  <c r="I11" i="1"/>
  <c r="H11" i="1"/>
  <c r="AB10" i="1"/>
  <c r="AA10" i="1"/>
  <c r="AC10" i="1" s="1"/>
  <c r="X10" i="1"/>
  <c r="W10" i="1"/>
  <c r="T10" i="1"/>
  <c r="S10" i="1"/>
  <c r="P10" i="1"/>
  <c r="O10" i="1"/>
  <c r="L10" i="1"/>
  <c r="K10" i="1"/>
  <c r="I10" i="1"/>
  <c r="H10" i="1"/>
  <c r="AB9" i="1"/>
  <c r="AA9" i="1"/>
  <c r="X9" i="1"/>
  <c r="W9" i="1"/>
  <c r="T9" i="1"/>
  <c r="S9" i="1"/>
  <c r="P9" i="1"/>
  <c r="O9" i="1"/>
  <c r="Q9" i="1" s="1"/>
  <c r="L9" i="1"/>
  <c r="K9" i="1"/>
  <c r="I9" i="1"/>
  <c r="H9" i="1"/>
  <c r="AB8" i="1"/>
  <c r="AA8" i="1"/>
  <c r="X8" i="1"/>
  <c r="W8" i="1"/>
  <c r="T8" i="1"/>
  <c r="S8" i="1"/>
  <c r="P8" i="1"/>
  <c r="O8" i="1"/>
  <c r="Q8" i="1" s="1"/>
  <c r="L8" i="1"/>
  <c r="K8" i="1"/>
  <c r="I8" i="1"/>
  <c r="H8" i="1"/>
  <c r="AB7" i="1"/>
  <c r="AA7" i="1"/>
  <c r="X7" i="1"/>
  <c r="W7" i="1"/>
  <c r="T7" i="1"/>
  <c r="S7" i="1"/>
  <c r="P7" i="1"/>
  <c r="O7" i="1"/>
  <c r="L7" i="1"/>
  <c r="K7" i="1"/>
  <c r="I7" i="1"/>
  <c r="H7" i="1"/>
  <c r="AB6" i="1"/>
  <c r="AA6" i="1"/>
  <c r="X6" i="1"/>
  <c r="W6" i="1"/>
  <c r="T6" i="1"/>
  <c r="S6" i="1"/>
  <c r="P6" i="1"/>
  <c r="O6" i="1"/>
  <c r="L6" i="1"/>
  <c r="K6" i="1"/>
  <c r="I6" i="1"/>
  <c r="H6" i="1"/>
  <c r="AB5" i="1"/>
  <c r="AA5" i="1"/>
  <c r="X5" i="1"/>
  <c r="W5" i="1"/>
  <c r="T5" i="1"/>
  <c r="S5" i="1"/>
  <c r="P5" i="1"/>
  <c r="O5" i="1"/>
  <c r="L5" i="1"/>
  <c r="K5" i="1"/>
  <c r="I5" i="1"/>
  <c r="H5" i="1"/>
  <c r="AB4" i="1"/>
  <c r="AA4" i="1"/>
  <c r="X4" i="1"/>
  <c r="W4" i="1"/>
  <c r="T4" i="1"/>
  <c r="S4" i="1"/>
  <c r="P4" i="1"/>
  <c r="O4" i="1"/>
  <c r="L4" i="1"/>
  <c r="K4" i="1"/>
  <c r="I4" i="1"/>
  <c r="H4" i="1"/>
  <c r="W45" i="2" l="1"/>
  <c r="Q20" i="1"/>
  <c r="Q11" i="2"/>
  <c r="J20" i="2"/>
  <c r="J21" i="2"/>
  <c r="U23" i="2"/>
  <c r="U35" i="2"/>
  <c r="M6" i="1"/>
  <c r="Y7" i="1"/>
  <c r="J20" i="1"/>
  <c r="Z20" i="1" s="1"/>
  <c r="J43" i="1"/>
  <c r="AB79" i="1"/>
  <c r="M4" i="2"/>
  <c r="Y6" i="2"/>
  <c r="M8" i="2"/>
  <c r="J11" i="2"/>
  <c r="Z11" i="2" s="1"/>
  <c r="J13" i="2"/>
  <c r="U13" i="2"/>
  <c r="V13" i="2" s="1"/>
  <c r="J14" i="2"/>
  <c r="U14" i="2" s="1"/>
  <c r="J15" i="2"/>
  <c r="U15" i="2" s="1"/>
  <c r="J17" i="2"/>
  <c r="M17" i="2" s="1"/>
  <c r="N17" i="2" s="1"/>
  <c r="T17" i="2"/>
  <c r="Y33" i="2"/>
  <c r="M35" i="2"/>
  <c r="M36" i="2"/>
  <c r="Y36" i="2"/>
  <c r="K37" i="2"/>
  <c r="Y19" i="1"/>
  <c r="AC22" i="2"/>
  <c r="Q33" i="2"/>
  <c r="N93" i="2"/>
  <c r="Q18" i="1"/>
  <c r="AC18" i="1"/>
  <c r="Q27" i="1"/>
  <c r="Q28" i="1"/>
  <c r="R28" i="1" s="1"/>
  <c r="AC29" i="1"/>
  <c r="J31" i="1"/>
  <c r="U33" i="1"/>
  <c r="AC33" i="1"/>
  <c r="Q34" i="1"/>
  <c r="J39" i="1"/>
  <c r="U39" i="1" s="1"/>
  <c r="AD57" i="1"/>
  <c r="J72" i="1"/>
  <c r="U73" i="1"/>
  <c r="J77" i="1"/>
  <c r="Q77" i="1"/>
  <c r="P80" i="1"/>
  <c r="N93" i="1"/>
  <c r="M21" i="2"/>
  <c r="Y32" i="2"/>
  <c r="J33" i="2"/>
  <c r="J41" i="2"/>
  <c r="R41" i="2" s="1"/>
  <c r="M81" i="2"/>
  <c r="N81" i="2" s="1"/>
  <c r="U81" i="2"/>
  <c r="S81" i="2" s="1"/>
  <c r="AA91" i="2"/>
  <c r="K93" i="2"/>
  <c r="Z93" i="2"/>
  <c r="AC32" i="1"/>
  <c r="P17" i="1"/>
  <c r="U18" i="1"/>
  <c r="Q26" i="1"/>
  <c r="V93" i="1"/>
  <c r="U26" i="2"/>
  <c r="J29" i="2"/>
  <c r="Z29" i="2" s="1"/>
  <c r="U29" i="2"/>
  <c r="J32" i="2"/>
  <c r="AD37" i="2"/>
  <c r="X43" i="2"/>
  <c r="W43" i="2" s="1"/>
  <c r="Z45" i="2"/>
  <c r="AB80" i="2"/>
  <c r="U4" i="1"/>
  <c r="U5" i="1"/>
  <c r="J7" i="1"/>
  <c r="Z7" i="1" s="1"/>
  <c r="U9" i="1"/>
  <c r="J10" i="1"/>
  <c r="J12" i="1"/>
  <c r="U12" i="1"/>
  <c r="T17" i="1"/>
  <c r="U21" i="1"/>
  <c r="J22" i="1"/>
  <c r="J24" i="1"/>
  <c r="U24" i="1"/>
  <c r="V24" i="1" s="1"/>
  <c r="M31" i="1"/>
  <c r="N31" i="1" s="1"/>
  <c r="U31" i="1"/>
  <c r="V31" i="1" s="1"/>
  <c r="J34" i="1"/>
  <c r="Y34" i="1"/>
  <c r="J35" i="1"/>
  <c r="L39" i="1"/>
  <c r="X45" i="1"/>
  <c r="J46" i="1"/>
  <c r="V46" i="1" s="1"/>
  <c r="N57" i="1"/>
  <c r="AC73" i="1"/>
  <c r="J75" i="1"/>
  <c r="Y75" i="1"/>
  <c r="AB77" i="1"/>
  <c r="AA77" i="1" s="1"/>
  <c r="L79" i="1"/>
  <c r="L80" i="1"/>
  <c r="H97" i="1"/>
  <c r="U97" i="1"/>
  <c r="V97" i="1" s="1"/>
  <c r="J4" i="2"/>
  <c r="N4" i="2" s="1"/>
  <c r="M20" i="2"/>
  <c r="U20" i="2"/>
  <c r="Q22" i="2"/>
  <c r="M24" i="2"/>
  <c r="M26" i="2"/>
  <c r="M27" i="2"/>
  <c r="Y27" i="2"/>
  <c r="Y28" i="2"/>
  <c r="J43" i="2"/>
  <c r="N43" i="2" s="1"/>
  <c r="L43" i="2"/>
  <c r="K43" i="2" s="1"/>
  <c r="Q72" i="2"/>
  <c r="U72" i="2"/>
  <c r="AC73" i="2"/>
  <c r="Q74" i="2"/>
  <c r="J75" i="2"/>
  <c r="AD75" i="2" s="1"/>
  <c r="U75" i="2"/>
  <c r="AC75" i="2"/>
  <c r="Q76" i="2"/>
  <c r="AB79" i="2"/>
  <c r="X46" i="2"/>
  <c r="W46" i="2" s="1"/>
  <c r="T46" i="2"/>
  <c r="S46" i="2" s="1"/>
  <c r="L46" i="2"/>
  <c r="K46" i="2" s="1"/>
  <c r="V60" i="2"/>
  <c r="Y4" i="1"/>
  <c r="L15" i="1"/>
  <c r="Z28" i="1"/>
  <c r="Z47" i="1"/>
  <c r="M73" i="1"/>
  <c r="Q74" i="1"/>
  <c r="M76" i="1"/>
  <c r="Y76" i="1"/>
  <c r="H91" i="1"/>
  <c r="K91" i="1"/>
  <c r="S92" i="1"/>
  <c r="K93" i="1"/>
  <c r="S93" i="1"/>
  <c r="H95" i="1"/>
  <c r="M5" i="2"/>
  <c r="Q5" i="2"/>
  <c r="M10" i="2"/>
  <c r="Y13" i="2"/>
  <c r="Z13" i="2" s="1"/>
  <c r="M19" i="2"/>
  <c r="U22" i="2"/>
  <c r="AC24" i="2"/>
  <c r="AC28" i="2"/>
  <c r="H37" i="2"/>
  <c r="N37" i="2"/>
  <c r="X39" i="2"/>
  <c r="T39" i="2"/>
  <c r="AA78" i="2"/>
  <c r="J4" i="1"/>
  <c r="AC4" i="1"/>
  <c r="Q5" i="1"/>
  <c r="Q6" i="1"/>
  <c r="U6" i="1"/>
  <c r="AC6" i="1"/>
  <c r="J8" i="1"/>
  <c r="R8" i="1" s="1"/>
  <c r="Y8" i="1"/>
  <c r="M10" i="1"/>
  <c r="N10" i="1" s="1"/>
  <c r="M11" i="1"/>
  <c r="M13" i="1"/>
  <c r="Y13" i="1"/>
  <c r="J15" i="1"/>
  <c r="U15" i="1" s="1"/>
  <c r="J19" i="1"/>
  <c r="Z19" i="1" s="1"/>
  <c r="Q21" i="1"/>
  <c r="AC22" i="1"/>
  <c r="Q23" i="1"/>
  <c r="AC23" i="1"/>
  <c r="AC25" i="1"/>
  <c r="J28" i="1"/>
  <c r="U30" i="1"/>
  <c r="AC31" i="1"/>
  <c r="AD31" i="1" s="1"/>
  <c r="Q32" i="1"/>
  <c r="M34" i="1"/>
  <c r="AC35" i="1"/>
  <c r="AD35" i="1" s="1"/>
  <c r="V37" i="1"/>
  <c r="T38" i="1"/>
  <c r="S38" i="1" s="1"/>
  <c r="T78" i="1"/>
  <c r="U4" i="2"/>
  <c r="J5" i="2"/>
  <c r="J19" i="2"/>
  <c r="R19" i="2" s="1"/>
  <c r="U30" i="2"/>
  <c r="U31" i="2"/>
  <c r="Q34" i="2"/>
  <c r="AC34" i="2"/>
  <c r="Q35" i="2"/>
  <c r="AC36" i="2"/>
  <c r="V37" i="2"/>
  <c r="AA37" i="2"/>
  <c r="T38" i="2"/>
  <c r="S38" i="2" s="1"/>
  <c r="X38" i="2"/>
  <c r="J46" i="2"/>
  <c r="N46" i="2" s="1"/>
  <c r="R60" i="2"/>
  <c r="AD60" i="2"/>
  <c r="J36" i="1"/>
  <c r="Z36" i="1" s="1"/>
  <c r="U36" i="1"/>
  <c r="S37" i="1"/>
  <c r="J38" i="1"/>
  <c r="V38" i="1" s="1"/>
  <c r="AB43" i="1"/>
  <c r="AA43" i="1" s="1"/>
  <c r="U72" i="1"/>
  <c r="AC72" i="1"/>
  <c r="AD72" i="1" s="1"/>
  <c r="Y73" i="1"/>
  <c r="AC74" i="1"/>
  <c r="U75" i="1"/>
  <c r="V75" i="1" s="1"/>
  <c r="AC75" i="1"/>
  <c r="AD75" i="1" s="1"/>
  <c r="J76" i="1"/>
  <c r="Q76" i="1"/>
  <c r="T77" i="1"/>
  <c r="AB80" i="1"/>
  <c r="Q97" i="1"/>
  <c r="O97" i="1" s="1"/>
  <c r="U5" i="2"/>
  <c r="U6" i="2"/>
  <c r="M7" i="2"/>
  <c r="U7" i="2"/>
  <c r="AC8" i="2"/>
  <c r="U9" i="2"/>
  <c r="J10" i="2"/>
  <c r="N10" i="2" s="1"/>
  <c r="Q10" i="2"/>
  <c r="Q12" i="2"/>
  <c r="Q13" i="2"/>
  <c r="J18" i="2"/>
  <c r="R18" i="2" s="1"/>
  <c r="Y18" i="2"/>
  <c r="U19" i="2"/>
  <c r="Q20" i="2"/>
  <c r="AC21" i="2"/>
  <c r="AD21" i="2" s="1"/>
  <c r="M22" i="2"/>
  <c r="U24" i="2"/>
  <c r="J26" i="2"/>
  <c r="R26" i="2" s="1"/>
  <c r="Y26" i="2"/>
  <c r="J27" i="2"/>
  <c r="AD27" i="2" s="1"/>
  <c r="J28" i="2"/>
  <c r="U28" i="2"/>
  <c r="Y29" i="2"/>
  <c r="J30" i="2"/>
  <c r="AD30" i="2" s="1"/>
  <c r="Y30" i="2"/>
  <c r="AC31" i="2"/>
  <c r="AC32" i="2"/>
  <c r="AD32" i="2" s="1"/>
  <c r="J35" i="2"/>
  <c r="V35" i="2" s="1"/>
  <c r="Y35" i="2"/>
  <c r="J36" i="2"/>
  <c r="Z36" i="2" s="1"/>
  <c r="S37" i="2"/>
  <c r="Z37" i="2"/>
  <c r="J38" i="2"/>
  <c r="AD38" i="2" s="1"/>
  <c r="J39" i="2"/>
  <c r="Q39" i="2" s="1"/>
  <c r="N60" i="2"/>
  <c r="Z60" i="2"/>
  <c r="J72" i="2"/>
  <c r="N72" i="2" s="1"/>
  <c r="Y72" i="2"/>
  <c r="J73" i="2"/>
  <c r="Z73" i="2" s="1"/>
  <c r="J74" i="2"/>
  <c r="U74" i="2"/>
  <c r="Y75" i="2"/>
  <c r="J76" i="2"/>
  <c r="Y76" i="2"/>
  <c r="R92" i="2"/>
  <c r="Z92" i="2"/>
  <c r="AC74" i="2"/>
  <c r="X14" i="1"/>
  <c r="AB14" i="1"/>
  <c r="P14" i="1"/>
  <c r="AB44" i="1"/>
  <c r="T44" i="1"/>
  <c r="U94" i="1"/>
  <c r="H94" i="1"/>
  <c r="Q94" i="1"/>
  <c r="J5" i="1"/>
  <c r="Y5" i="1"/>
  <c r="AC5" i="1"/>
  <c r="Q7" i="1"/>
  <c r="M8" i="1"/>
  <c r="AC8" i="1"/>
  <c r="AD8" i="1" s="1"/>
  <c r="Y10" i="1"/>
  <c r="J13" i="1"/>
  <c r="P16" i="1"/>
  <c r="AB17" i="1"/>
  <c r="Q19" i="1"/>
  <c r="M20" i="1"/>
  <c r="N20" i="1" s="1"/>
  <c r="AC20" i="1"/>
  <c r="AD20" i="1" s="1"/>
  <c r="Y22" i="1"/>
  <c r="J25" i="1"/>
  <c r="U27" i="1"/>
  <c r="Q35" i="1"/>
  <c r="R35" i="1" s="1"/>
  <c r="T40" i="1"/>
  <c r="S40" i="1" s="1"/>
  <c r="AB40" i="1"/>
  <c r="AA40" i="1" s="1"/>
  <c r="AB41" i="1"/>
  <c r="T41" i="1"/>
  <c r="S41" i="1" s="1"/>
  <c r="V43" i="1"/>
  <c r="Q72" i="1"/>
  <c r="R72" i="1" s="1"/>
  <c r="M74" i="1"/>
  <c r="AC9" i="2"/>
  <c r="M7" i="1"/>
  <c r="Y9" i="1"/>
  <c r="U10" i="1"/>
  <c r="V10" i="1" s="1"/>
  <c r="M12" i="1"/>
  <c r="AC12" i="1"/>
  <c r="AD12" i="1" s="1"/>
  <c r="Q13" i="1"/>
  <c r="J14" i="1"/>
  <c r="U14" i="1" s="1"/>
  <c r="T14" i="1"/>
  <c r="J16" i="1"/>
  <c r="M16" i="1" s="1"/>
  <c r="N16" i="1" s="1"/>
  <c r="AB16" i="1"/>
  <c r="M19" i="1"/>
  <c r="N19" i="1" s="1"/>
  <c r="Y21" i="1"/>
  <c r="U22" i="1"/>
  <c r="M24" i="1"/>
  <c r="AC24" i="1"/>
  <c r="AD24" i="1" s="1"/>
  <c r="Q25" i="1"/>
  <c r="R25" i="1" s="1"/>
  <c r="J26" i="1"/>
  <c r="Z26" i="1" s="1"/>
  <c r="AC26" i="1"/>
  <c r="Q29" i="1"/>
  <c r="Z31" i="1"/>
  <c r="J40" i="1"/>
  <c r="P40" i="1"/>
  <c r="O40" i="1" s="1"/>
  <c r="J74" i="1"/>
  <c r="Z74" i="1" s="1"/>
  <c r="U76" i="1"/>
  <c r="V76" i="1" s="1"/>
  <c r="Y81" i="1"/>
  <c r="W81" i="1" s="1"/>
  <c r="AC81" i="1"/>
  <c r="AA81" i="1" s="1"/>
  <c r="U81" i="1"/>
  <c r="V81" i="1" s="1"/>
  <c r="Q81" i="1"/>
  <c r="O81" i="1" s="1"/>
  <c r="AC5" i="2"/>
  <c r="Q8" i="2"/>
  <c r="Y10" i="2"/>
  <c r="M11" i="2"/>
  <c r="M82" i="2"/>
  <c r="N82" i="2" s="1"/>
  <c r="AC77" i="2"/>
  <c r="Y82" i="2"/>
  <c r="Z82" i="2" s="1"/>
  <c r="Q82" i="2"/>
  <c r="O82" i="2" s="1"/>
  <c r="AC82" i="2"/>
  <c r="AD82" i="2" s="1"/>
  <c r="V90" i="2"/>
  <c r="R90" i="2"/>
  <c r="AD90" i="2"/>
  <c r="N90" i="2"/>
  <c r="M4" i="1"/>
  <c r="M5" i="1"/>
  <c r="N5" i="1" s="1"/>
  <c r="Y6" i="1"/>
  <c r="U7" i="1"/>
  <c r="U8" i="1"/>
  <c r="V8" i="1" s="1"/>
  <c r="M9" i="1"/>
  <c r="AC9" i="1"/>
  <c r="J11" i="1"/>
  <c r="Y11" i="1"/>
  <c r="Q12" i="1"/>
  <c r="U13" i="1"/>
  <c r="J17" i="1"/>
  <c r="Q17" i="1" s="1"/>
  <c r="R17" i="1" s="1"/>
  <c r="J18" i="1"/>
  <c r="Z18" i="1" s="1"/>
  <c r="Y18" i="1"/>
  <c r="U19" i="1"/>
  <c r="U20" i="1"/>
  <c r="V20" i="1" s="1"/>
  <c r="M21" i="1"/>
  <c r="AC21" i="1"/>
  <c r="J23" i="1"/>
  <c r="N23" i="1" s="1"/>
  <c r="Y23" i="1"/>
  <c r="Q24" i="1"/>
  <c r="R24" i="1" s="1"/>
  <c r="U25" i="1"/>
  <c r="V25" i="1" s="1"/>
  <c r="M26" i="1"/>
  <c r="U26" i="1"/>
  <c r="AC27" i="1"/>
  <c r="J29" i="1"/>
  <c r="AD29" i="1" s="1"/>
  <c r="Y29" i="1"/>
  <c r="Q30" i="1"/>
  <c r="M32" i="1"/>
  <c r="J33" i="1"/>
  <c r="AC34" i="1"/>
  <c r="Y35" i="1"/>
  <c r="Z35" i="1" s="1"/>
  <c r="Q36" i="1"/>
  <c r="H37" i="1"/>
  <c r="N37" i="1"/>
  <c r="AA37" i="1"/>
  <c r="W38" i="1"/>
  <c r="P38" i="1"/>
  <c r="O38" i="1" s="1"/>
  <c r="AB38" i="1"/>
  <c r="AA38" i="1" s="1"/>
  <c r="AD43" i="1"/>
  <c r="P46" i="1"/>
  <c r="O46" i="1" s="1"/>
  <c r="T46" i="1"/>
  <c r="S46" i="1" s="1"/>
  <c r="AB46" i="1"/>
  <c r="T47" i="1"/>
  <c r="S47" i="1" s="1"/>
  <c r="R57" i="1"/>
  <c r="AD60" i="1"/>
  <c r="Y72" i="1"/>
  <c r="Z72" i="1" s="1"/>
  <c r="J73" i="1"/>
  <c r="Q73" i="1"/>
  <c r="U74" i="1"/>
  <c r="V74" i="1" s="1"/>
  <c r="AC76" i="1"/>
  <c r="P77" i="1"/>
  <c r="O77" i="1" s="1"/>
  <c r="J78" i="1"/>
  <c r="P79" i="1"/>
  <c r="X80" i="1"/>
  <c r="W97" i="1"/>
  <c r="Q4" i="2"/>
  <c r="Y4" i="2"/>
  <c r="M6" i="2"/>
  <c r="J7" i="2"/>
  <c r="Y7" i="2"/>
  <c r="J8" i="2"/>
  <c r="Z8" i="2" s="1"/>
  <c r="AC11" i="2"/>
  <c r="U12" i="2"/>
  <c r="AC12" i="2"/>
  <c r="X14" i="2"/>
  <c r="T14" i="2"/>
  <c r="P14" i="2"/>
  <c r="J16" i="2"/>
  <c r="U17" i="2"/>
  <c r="X42" i="2"/>
  <c r="W42" i="2" s="1"/>
  <c r="AB42" i="2"/>
  <c r="AA42" i="2" s="1"/>
  <c r="T42" i="2"/>
  <c r="S42" i="2" s="1"/>
  <c r="P42" i="2"/>
  <c r="O42" i="2" s="1"/>
  <c r="J42" i="2"/>
  <c r="AD42" i="2" s="1"/>
  <c r="Z90" i="2"/>
  <c r="Y95" i="2"/>
  <c r="Z95" i="2" s="1"/>
  <c r="AC95" i="2"/>
  <c r="AD95" i="2" s="1"/>
  <c r="U95" i="2"/>
  <c r="V95" i="2" s="1"/>
  <c r="H95" i="2"/>
  <c r="Q95" i="2"/>
  <c r="O95" i="2" s="1"/>
  <c r="J27" i="1"/>
  <c r="R27" i="1" s="1"/>
  <c r="Y27" i="1"/>
  <c r="U28" i="1"/>
  <c r="U29" i="1"/>
  <c r="M30" i="1"/>
  <c r="AC30" i="1"/>
  <c r="J32" i="1"/>
  <c r="R32" i="1" s="1"/>
  <c r="Y32" i="1"/>
  <c r="Q33" i="1"/>
  <c r="U34" i="1"/>
  <c r="V34" i="1" s="1"/>
  <c r="M35" i="1"/>
  <c r="N35" i="1" s="1"/>
  <c r="U35" i="1"/>
  <c r="V35" i="1" s="1"/>
  <c r="AC36" i="1"/>
  <c r="O37" i="1"/>
  <c r="W37" i="1"/>
  <c r="J41" i="1"/>
  <c r="N41" i="1" s="1"/>
  <c r="P43" i="1"/>
  <c r="O43" i="1" s="1"/>
  <c r="T43" i="1"/>
  <c r="S43" i="1" s="1"/>
  <c r="J44" i="1"/>
  <c r="AC44" i="1" s="1"/>
  <c r="AD44" i="1" s="1"/>
  <c r="Z57" i="1"/>
  <c r="M72" i="1"/>
  <c r="N72" i="1" s="1"/>
  <c r="M75" i="1"/>
  <c r="N75" i="1" s="1"/>
  <c r="X79" i="1"/>
  <c r="S95" i="1"/>
  <c r="AC97" i="1"/>
  <c r="Y5" i="2"/>
  <c r="J6" i="2"/>
  <c r="AC7" i="2"/>
  <c r="AD7" i="2" s="1"/>
  <c r="U8" i="2"/>
  <c r="M9" i="2"/>
  <c r="U10" i="2"/>
  <c r="AC10" i="2"/>
  <c r="J12" i="2"/>
  <c r="Y12" i="2"/>
  <c r="T16" i="2"/>
  <c r="AB16" i="2"/>
  <c r="L16" i="2"/>
  <c r="X16" i="2"/>
  <c r="T44" i="2"/>
  <c r="AB44" i="2"/>
  <c r="L44" i="2"/>
  <c r="X44" i="2"/>
  <c r="J44" i="2"/>
  <c r="Q44" i="2" s="1"/>
  <c r="X47" i="2"/>
  <c r="W47" i="2" s="1"/>
  <c r="L47" i="2"/>
  <c r="K47" i="2" s="1"/>
  <c r="P17" i="2"/>
  <c r="Y19" i="2"/>
  <c r="Y20" i="2"/>
  <c r="M23" i="2"/>
  <c r="U25" i="2"/>
  <c r="Q27" i="2"/>
  <c r="AC33" i="2"/>
  <c r="AD33" i="2" s="1"/>
  <c r="U34" i="2"/>
  <c r="Q36" i="2"/>
  <c r="P45" i="2"/>
  <c r="O45" i="2" s="1"/>
  <c r="T45" i="2"/>
  <c r="S45" i="2" s="1"/>
  <c r="Q73" i="2"/>
  <c r="AC76" i="2"/>
  <c r="AB17" i="2"/>
  <c r="U18" i="2"/>
  <c r="AC18" i="2"/>
  <c r="Q21" i="2"/>
  <c r="Y21" i="2"/>
  <c r="Z21" i="2" s="1"/>
  <c r="J22" i="2"/>
  <c r="Y22" i="2"/>
  <c r="J23" i="2"/>
  <c r="Y23" i="2"/>
  <c r="J24" i="2"/>
  <c r="Y24" i="2"/>
  <c r="M29" i="2"/>
  <c r="M30" i="2"/>
  <c r="M31" i="2"/>
  <c r="M32" i="2"/>
  <c r="U32" i="2"/>
  <c r="M33" i="2"/>
  <c r="J34" i="2"/>
  <c r="AD34" i="2" s="1"/>
  <c r="U36" i="2"/>
  <c r="W37" i="2"/>
  <c r="P38" i="2"/>
  <c r="O38" i="2" s="1"/>
  <c r="AB38" i="2"/>
  <c r="AA38" i="2" s="1"/>
  <c r="AB39" i="2"/>
  <c r="AB45" i="2"/>
  <c r="AA45" i="2" s="1"/>
  <c r="U73" i="2"/>
  <c r="M75" i="2"/>
  <c r="M76" i="2"/>
  <c r="K92" i="2"/>
  <c r="O92" i="2"/>
  <c r="W92" i="2"/>
  <c r="W93" i="2"/>
  <c r="N25" i="1"/>
  <c r="S91" i="1"/>
  <c r="N92" i="1"/>
  <c r="K92" i="1"/>
  <c r="V15" i="2"/>
  <c r="AD10" i="1"/>
  <c r="R23" i="1"/>
  <c r="AD37" i="1"/>
  <c r="R37" i="1"/>
  <c r="AC39" i="1"/>
  <c r="M39" i="1"/>
  <c r="Z43" i="1"/>
  <c r="W43" i="1"/>
  <c r="N47" i="1"/>
  <c r="N60" i="1"/>
  <c r="Z76" i="1"/>
  <c r="AA78" i="1"/>
  <c r="O91" i="1"/>
  <c r="Z92" i="1"/>
  <c r="Z93" i="1"/>
  <c r="W93" i="1"/>
  <c r="V15" i="1"/>
  <c r="V18" i="1"/>
  <c r="AD38" i="1"/>
  <c r="V39" i="1"/>
  <c r="T42" i="1"/>
  <c r="S42" i="1" s="1"/>
  <c r="AB42" i="1"/>
  <c r="AA42" i="1" s="1"/>
  <c r="P42" i="1"/>
  <c r="O42" i="1" s="1"/>
  <c r="J42" i="1"/>
  <c r="N42" i="1" s="1"/>
  <c r="N43" i="1"/>
  <c r="Z46" i="1"/>
  <c r="W46" i="1"/>
  <c r="AD93" i="1"/>
  <c r="AA93" i="1"/>
  <c r="N22" i="1"/>
  <c r="AA41" i="1"/>
  <c r="X42" i="1"/>
  <c r="W42" i="1" s="1"/>
  <c r="R46" i="1"/>
  <c r="V47" i="1"/>
  <c r="R77" i="1"/>
  <c r="AD77" i="1"/>
  <c r="H92" i="1"/>
  <c r="V92" i="1"/>
  <c r="Q4" i="1"/>
  <c r="J6" i="1"/>
  <c r="V6" i="1" s="1"/>
  <c r="AC7" i="1"/>
  <c r="AD7" i="1" s="1"/>
  <c r="J9" i="1"/>
  <c r="AD9" i="1" s="1"/>
  <c r="Q10" i="1"/>
  <c r="R10" i="1" s="1"/>
  <c r="U11" i="1"/>
  <c r="Y12" i="1"/>
  <c r="M14" i="1"/>
  <c r="T15" i="1"/>
  <c r="AB15" i="1"/>
  <c r="P15" i="1"/>
  <c r="M18" i="1"/>
  <c r="AC19" i="1"/>
  <c r="AD19" i="1" s="1"/>
  <c r="R20" i="1"/>
  <c r="J21" i="1"/>
  <c r="Q22" i="1"/>
  <c r="R22" i="1" s="1"/>
  <c r="U23" i="1"/>
  <c r="V23" i="1" s="1"/>
  <c r="Y24" i="1"/>
  <c r="Z24" i="1" s="1"/>
  <c r="M27" i="1"/>
  <c r="N28" i="1"/>
  <c r="AC28" i="1"/>
  <c r="J30" i="1"/>
  <c r="AD30" i="1" s="1"/>
  <c r="Q31" i="1"/>
  <c r="R31" i="1" s="1"/>
  <c r="U32" i="1"/>
  <c r="Y33" i="1"/>
  <c r="Z34" i="1"/>
  <c r="M36" i="1"/>
  <c r="N36" i="1" s="1"/>
  <c r="K37" i="1"/>
  <c r="Z37" i="1"/>
  <c r="R38" i="1"/>
  <c r="T39" i="1"/>
  <c r="S39" i="1" s="1"/>
  <c r="AB39" i="1"/>
  <c r="P39" i="1"/>
  <c r="Z40" i="1"/>
  <c r="W40" i="1"/>
  <c r="R43" i="1"/>
  <c r="T45" i="1"/>
  <c r="S45" i="1" s="1"/>
  <c r="AB45" i="1"/>
  <c r="AA45" i="1" s="1"/>
  <c r="P45" i="1"/>
  <c r="O45" i="1" s="1"/>
  <c r="J45" i="1"/>
  <c r="Z45" i="1" s="1"/>
  <c r="N46" i="1"/>
  <c r="AD46" i="1"/>
  <c r="R47" i="1"/>
  <c r="AD47" i="1"/>
  <c r="AA47" i="1"/>
  <c r="R60" i="1"/>
  <c r="Z60" i="1"/>
  <c r="V72" i="1"/>
  <c r="R75" i="1"/>
  <c r="N77" i="1"/>
  <c r="Z77" i="1"/>
  <c r="W77" i="1"/>
  <c r="R81" i="1"/>
  <c r="R92" i="1"/>
  <c r="O92" i="1"/>
  <c r="N13" i="2"/>
  <c r="M15" i="2"/>
  <c r="AC15" i="2"/>
  <c r="Q16" i="2"/>
  <c r="U16" i="2"/>
  <c r="V19" i="2"/>
  <c r="AD92" i="2"/>
  <c r="AA92" i="2"/>
  <c r="V93" i="2"/>
  <c r="S93" i="2"/>
  <c r="AD93" i="2"/>
  <c r="AA93" i="2"/>
  <c r="V97" i="2"/>
  <c r="S97" i="2"/>
  <c r="L14" i="1"/>
  <c r="T16" i="1"/>
  <c r="L17" i="1"/>
  <c r="L38" i="1"/>
  <c r="K38" i="1" s="1"/>
  <c r="L41" i="1"/>
  <c r="K41" i="1" s="1"/>
  <c r="X41" i="1"/>
  <c r="W41" i="1" s="1"/>
  <c r="L44" i="1"/>
  <c r="X44" i="1"/>
  <c r="L47" i="1"/>
  <c r="K47" i="1" s="1"/>
  <c r="X47" i="1"/>
  <c r="W47" i="1" s="1"/>
  <c r="L78" i="1"/>
  <c r="K78" i="1" s="1"/>
  <c r="X78" i="1"/>
  <c r="W78" i="1" s="1"/>
  <c r="AC82" i="1"/>
  <c r="Q82" i="1"/>
  <c r="M82" i="1"/>
  <c r="AD92" i="1"/>
  <c r="AA92" i="1"/>
  <c r="AB15" i="2"/>
  <c r="P15" i="2"/>
  <c r="T78" i="2"/>
  <c r="S78" i="2" s="1"/>
  <c r="J78" i="2"/>
  <c r="Z78" i="2" s="1"/>
  <c r="X78" i="2"/>
  <c r="W78" i="2" s="1"/>
  <c r="L78" i="2"/>
  <c r="K78" i="2" s="1"/>
  <c r="P78" i="2"/>
  <c r="O78" i="2" s="1"/>
  <c r="L16" i="1"/>
  <c r="K16" i="1" s="1"/>
  <c r="L40" i="1"/>
  <c r="K40" i="1" s="1"/>
  <c r="P41" i="1"/>
  <c r="O41" i="1" s="1"/>
  <c r="K42" i="1"/>
  <c r="L43" i="1"/>
  <c r="K43" i="1" s="1"/>
  <c r="P44" i="1"/>
  <c r="K45" i="1"/>
  <c r="W45" i="1"/>
  <c r="L46" i="1"/>
  <c r="K46" i="1" s="1"/>
  <c r="AA46" i="1"/>
  <c r="P47" i="1"/>
  <c r="O47" i="1" s="1"/>
  <c r="L77" i="1"/>
  <c r="K77" i="1" s="1"/>
  <c r="U77" i="1"/>
  <c r="P78" i="1"/>
  <c r="O78" i="1" s="1"/>
  <c r="S78" i="1"/>
  <c r="M81" i="1"/>
  <c r="H82" i="1"/>
  <c r="U82" i="1"/>
  <c r="Y82" i="1"/>
  <c r="AA91" i="1"/>
  <c r="W92" i="1"/>
  <c r="R93" i="1"/>
  <c r="O93" i="1"/>
  <c r="Y94" i="1"/>
  <c r="M94" i="1"/>
  <c r="AC94" i="1"/>
  <c r="M95" i="1"/>
  <c r="Q95" i="1"/>
  <c r="Y95" i="1"/>
  <c r="AC95" i="1"/>
  <c r="AC4" i="2"/>
  <c r="Q7" i="2"/>
  <c r="J9" i="2"/>
  <c r="N9" i="2" s="1"/>
  <c r="Y9" i="2"/>
  <c r="U11" i="2"/>
  <c r="M12" i="2"/>
  <c r="AC13" i="2"/>
  <c r="AD13" i="2" s="1"/>
  <c r="AC14" i="2"/>
  <c r="T15" i="2"/>
  <c r="S15" i="2" s="1"/>
  <c r="X15" i="2"/>
  <c r="AC17" i="2"/>
  <c r="M18" i="2"/>
  <c r="AC19" i="2"/>
  <c r="N21" i="2"/>
  <c r="U21" i="2"/>
  <c r="AC23" i="2"/>
  <c r="AD23" i="2" s="1"/>
  <c r="Y25" i="2"/>
  <c r="M28" i="2"/>
  <c r="AB40" i="2"/>
  <c r="AA40" i="2" s="1"/>
  <c r="P40" i="2"/>
  <c r="O40" i="2" s="1"/>
  <c r="X40" i="2"/>
  <c r="W40" i="2" s="1"/>
  <c r="T40" i="2"/>
  <c r="S40" i="2" s="1"/>
  <c r="L40" i="2"/>
  <c r="K40" i="2" s="1"/>
  <c r="N45" i="2"/>
  <c r="R95" i="2"/>
  <c r="M97" i="1"/>
  <c r="L14" i="2"/>
  <c r="L17" i="2"/>
  <c r="AC20" i="2"/>
  <c r="Q23" i="2"/>
  <c r="R23" i="2" s="1"/>
  <c r="J25" i="2"/>
  <c r="AD25" i="2" s="1"/>
  <c r="U27" i="2"/>
  <c r="AC29" i="2"/>
  <c r="Q32" i="2"/>
  <c r="Y34" i="2"/>
  <c r="R37" i="2"/>
  <c r="O37" i="2"/>
  <c r="R38" i="2"/>
  <c r="T41" i="2"/>
  <c r="S41" i="2" s="1"/>
  <c r="AB41" i="2"/>
  <c r="AA41" i="2" s="1"/>
  <c r="X41" i="2"/>
  <c r="W41" i="2" s="1"/>
  <c r="P41" i="2"/>
  <c r="O41" i="2" s="1"/>
  <c r="L41" i="2"/>
  <c r="K41" i="2" s="1"/>
  <c r="R42" i="2"/>
  <c r="R45" i="2"/>
  <c r="H91" i="2"/>
  <c r="AD91" i="2"/>
  <c r="R91" i="2"/>
  <c r="R93" i="2"/>
  <c r="O93" i="2"/>
  <c r="V45" i="2"/>
  <c r="Z46" i="2"/>
  <c r="Z57" i="2"/>
  <c r="N57" i="2"/>
  <c r="V57" i="2"/>
  <c r="AB77" i="2"/>
  <c r="P77" i="2"/>
  <c r="L77" i="2"/>
  <c r="K81" i="2"/>
  <c r="Z81" i="2"/>
  <c r="W81" i="2"/>
  <c r="W82" i="2"/>
  <c r="Z91" i="2"/>
  <c r="W91" i="2"/>
  <c r="AC94" i="2"/>
  <c r="Q94" i="2"/>
  <c r="H94" i="2"/>
  <c r="U94" i="2"/>
  <c r="M25" i="2"/>
  <c r="AC26" i="2"/>
  <c r="Q29" i="2"/>
  <c r="J31" i="2"/>
  <c r="R31" i="2" s="1"/>
  <c r="Y31" i="2"/>
  <c r="U33" i="2"/>
  <c r="V33" i="2" s="1"/>
  <c r="M34" i="2"/>
  <c r="AC35" i="2"/>
  <c r="N38" i="2"/>
  <c r="K38" i="2"/>
  <c r="W38" i="2"/>
  <c r="J40" i="2"/>
  <c r="V40" i="2" s="1"/>
  <c r="AB43" i="2"/>
  <c r="AA43" i="2" s="1"/>
  <c r="P43" i="2"/>
  <c r="O43" i="2" s="1"/>
  <c r="S43" i="2"/>
  <c r="AB46" i="2"/>
  <c r="AA46" i="2" s="1"/>
  <c r="P46" i="2"/>
  <c r="O46" i="2" s="1"/>
  <c r="T47" i="2"/>
  <c r="S47" i="2" s="1"/>
  <c r="J47" i="2"/>
  <c r="Z47" i="2" s="1"/>
  <c r="P47" i="2"/>
  <c r="O47" i="2" s="1"/>
  <c r="AB47" i="2"/>
  <c r="AA47" i="2" s="1"/>
  <c r="R57" i="2"/>
  <c r="M74" i="2"/>
  <c r="X77" i="2"/>
  <c r="X79" i="2"/>
  <c r="L79" i="2"/>
  <c r="T79" i="2"/>
  <c r="X80" i="2"/>
  <c r="L80" i="2"/>
  <c r="P80" i="2"/>
  <c r="U82" i="2"/>
  <c r="Y77" i="2"/>
  <c r="M77" i="2"/>
  <c r="H82" i="2"/>
  <c r="U77" i="2"/>
  <c r="Q77" i="2"/>
  <c r="N91" i="2"/>
  <c r="K91" i="2"/>
  <c r="V91" i="2"/>
  <c r="S91" i="2"/>
  <c r="M94" i="2"/>
  <c r="L39" i="2"/>
  <c r="L42" i="2"/>
  <c r="K42" i="2" s="1"/>
  <c r="L45" i="2"/>
  <c r="K45" i="2" s="1"/>
  <c r="AD45" i="2"/>
  <c r="AC72" i="2"/>
  <c r="Q75" i="2"/>
  <c r="J77" i="2"/>
  <c r="AC81" i="2"/>
  <c r="Q81" i="2"/>
  <c r="V92" i="2"/>
  <c r="S92" i="2"/>
  <c r="M97" i="2"/>
  <c r="AC97" i="2"/>
  <c r="Q97" i="2"/>
  <c r="H97" i="2"/>
  <c r="Y97" i="2"/>
  <c r="M95" i="2"/>
  <c r="AD72" i="2" l="1"/>
  <c r="M39" i="2"/>
  <c r="N76" i="2"/>
  <c r="R22" i="2"/>
  <c r="R33" i="2"/>
  <c r="V81" i="2"/>
  <c r="AD29" i="2"/>
  <c r="R82" i="2"/>
  <c r="N11" i="2"/>
  <c r="V41" i="2"/>
  <c r="AD35" i="2"/>
  <c r="AD20" i="2"/>
  <c r="U44" i="2"/>
  <c r="S44" i="2" s="1"/>
  <c r="Y14" i="2"/>
  <c r="V11" i="2"/>
  <c r="N8" i="2"/>
  <c r="N75" i="2"/>
  <c r="Z20" i="2"/>
  <c r="Z4" i="2"/>
  <c r="Q14" i="2"/>
  <c r="R14" i="2" s="1"/>
  <c r="R74" i="2"/>
  <c r="V20" i="2"/>
  <c r="R11" i="2"/>
  <c r="R30" i="2"/>
  <c r="K17" i="2"/>
  <c r="AD4" i="2"/>
  <c r="M44" i="2"/>
  <c r="AD11" i="2"/>
  <c r="M14" i="2"/>
  <c r="K14" i="2" s="1"/>
  <c r="V74" i="2"/>
  <c r="R20" i="2"/>
  <c r="Z27" i="2"/>
  <c r="N20" i="2"/>
  <c r="Z33" i="2"/>
  <c r="AD73" i="2"/>
  <c r="Z38" i="2"/>
  <c r="AD26" i="2"/>
  <c r="K82" i="2"/>
  <c r="R46" i="2"/>
  <c r="R34" i="2"/>
  <c r="W95" i="2"/>
  <c r="Y17" i="2"/>
  <c r="Z17" i="2" s="1"/>
  <c r="AD46" i="2"/>
  <c r="N33" i="2"/>
  <c r="Z23" i="2"/>
  <c r="R73" i="2"/>
  <c r="R36" i="2"/>
  <c r="R12" i="2"/>
  <c r="V46" i="2"/>
  <c r="R32" i="2"/>
  <c r="N28" i="2"/>
  <c r="V21" i="2"/>
  <c r="N18" i="2"/>
  <c r="R7" i="2"/>
  <c r="Q15" i="2"/>
  <c r="O15" i="2" s="1"/>
  <c r="Y15" i="2"/>
  <c r="V32" i="2"/>
  <c r="AD24" i="2"/>
  <c r="R21" i="2"/>
  <c r="Z6" i="2"/>
  <c r="Q17" i="2"/>
  <c r="R17" i="2" s="1"/>
  <c r="R13" i="2"/>
  <c r="V75" i="2"/>
  <c r="V29" i="2"/>
  <c r="Z31" i="2"/>
  <c r="V78" i="2"/>
  <c r="Z23" i="1"/>
  <c r="N21" i="1"/>
  <c r="V13" i="1"/>
  <c r="R6" i="2"/>
  <c r="AD76" i="2"/>
  <c r="V28" i="2"/>
  <c r="V7" i="2"/>
  <c r="V5" i="2"/>
  <c r="Z73" i="1"/>
  <c r="V36" i="1"/>
  <c r="AD36" i="2"/>
  <c r="N4" i="1"/>
  <c r="AD34" i="1"/>
  <c r="AD32" i="1"/>
  <c r="V23" i="2"/>
  <c r="Z42" i="1"/>
  <c r="N18" i="1"/>
  <c r="V73" i="2"/>
  <c r="V36" i="2"/>
  <c r="N30" i="2"/>
  <c r="V34" i="2"/>
  <c r="R97" i="1"/>
  <c r="Z38" i="1"/>
  <c r="Z32" i="2"/>
  <c r="Z41" i="2"/>
  <c r="Y39" i="2"/>
  <c r="W39" i="2" s="1"/>
  <c r="AD19" i="2"/>
  <c r="S97" i="1"/>
  <c r="S95" i="2"/>
  <c r="V76" i="2"/>
  <c r="AC44" i="2"/>
  <c r="AA44" i="2" s="1"/>
  <c r="U39" i="2"/>
  <c r="N19" i="2"/>
  <c r="N27" i="1"/>
  <c r="Z12" i="1"/>
  <c r="M44" i="1"/>
  <c r="K44" i="1" s="1"/>
  <c r="R34" i="1"/>
  <c r="V42" i="1"/>
  <c r="Y39" i="1"/>
  <c r="W39" i="1" s="1"/>
  <c r="Y15" i="1"/>
  <c r="Z4" i="1"/>
  <c r="N29" i="2"/>
  <c r="R18" i="1"/>
  <c r="R12" i="1"/>
  <c r="V7" i="1"/>
  <c r="N12" i="1"/>
  <c r="V27" i="1"/>
  <c r="AD18" i="1"/>
  <c r="N8" i="1"/>
  <c r="Z5" i="1"/>
  <c r="AA44" i="1"/>
  <c r="Z28" i="2"/>
  <c r="Z18" i="2"/>
  <c r="R35" i="2"/>
  <c r="V31" i="2"/>
  <c r="R5" i="2"/>
  <c r="N34" i="1"/>
  <c r="AD23" i="1"/>
  <c r="R5" i="1"/>
  <c r="Z75" i="1"/>
  <c r="V26" i="2"/>
  <c r="R29" i="2"/>
  <c r="R76" i="2"/>
  <c r="Z76" i="2"/>
  <c r="Y44" i="2"/>
  <c r="Z44" i="2" s="1"/>
  <c r="AC39" i="2"/>
  <c r="AA39" i="2" s="1"/>
  <c r="N35" i="2"/>
  <c r="N41" i="2"/>
  <c r="V21" i="1"/>
  <c r="S15" i="1"/>
  <c r="R4" i="1"/>
  <c r="Z81" i="1"/>
  <c r="Q39" i="1"/>
  <c r="Q15" i="1"/>
  <c r="O15" i="1" s="1"/>
  <c r="Z19" i="2"/>
  <c r="AD41" i="2"/>
  <c r="V10" i="2"/>
  <c r="V26" i="1"/>
  <c r="N7" i="1"/>
  <c r="R7" i="1"/>
  <c r="N27" i="2"/>
  <c r="AD22" i="1"/>
  <c r="V12" i="1"/>
  <c r="V4" i="1"/>
  <c r="R74" i="1"/>
  <c r="R75" i="2"/>
  <c r="V43" i="2"/>
  <c r="AA77" i="2"/>
  <c r="AA82" i="2"/>
  <c r="V38" i="2"/>
  <c r="AD31" i="2"/>
  <c r="AA95" i="2"/>
  <c r="R28" i="2"/>
  <c r="V32" i="1"/>
  <c r="Y14" i="1"/>
  <c r="Z14" i="1" s="1"/>
  <c r="AD41" i="1"/>
  <c r="M17" i="1"/>
  <c r="N17" i="1" s="1"/>
  <c r="AD81" i="1"/>
  <c r="Q16" i="1"/>
  <c r="R16" i="1" s="1"/>
  <c r="V4" i="2"/>
  <c r="M15" i="1"/>
  <c r="N15" i="1" s="1"/>
  <c r="AC15" i="1"/>
  <c r="AA15" i="1" s="1"/>
  <c r="O17" i="1"/>
  <c r="N32" i="2"/>
  <c r="N23" i="2"/>
  <c r="Z35" i="2"/>
  <c r="AD74" i="1"/>
  <c r="V41" i="1"/>
  <c r="Z32" i="1"/>
  <c r="Z27" i="1"/>
  <c r="N7" i="2"/>
  <c r="R4" i="2"/>
  <c r="N24" i="1"/>
  <c r="N74" i="1"/>
  <c r="AD25" i="1"/>
  <c r="Z10" i="1"/>
  <c r="V5" i="1"/>
  <c r="N38" i="1"/>
  <c r="Z43" i="2"/>
  <c r="R10" i="2"/>
  <c r="AD8" i="2"/>
  <c r="V30" i="2"/>
  <c r="AD4" i="1"/>
  <c r="AD28" i="2"/>
  <c r="AD43" i="2"/>
  <c r="N36" i="2"/>
  <c r="Z42" i="2"/>
  <c r="V9" i="1"/>
  <c r="N26" i="2"/>
  <c r="Z12" i="2"/>
  <c r="Z5" i="2"/>
  <c r="AD36" i="1"/>
  <c r="AD73" i="1"/>
  <c r="R36" i="1"/>
  <c r="R8" i="2"/>
  <c r="R29" i="1"/>
  <c r="V22" i="1"/>
  <c r="Z22" i="1"/>
  <c r="Z75" i="2"/>
  <c r="Z30" i="2"/>
  <c r="Z26" i="2"/>
  <c r="R43" i="2"/>
  <c r="Z13" i="1"/>
  <c r="N5" i="2"/>
  <c r="V40" i="1"/>
  <c r="N40" i="1"/>
  <c r="AD40" i="1"/>
  <c r="N14" i="2"/>
  <c r="R40" i="1"/>
  <c r="Z78" i="1"/>
  <c r="V78" i="1"/>
  <c r="AD78" i="1"/>
  <c r="N11" i="1"/>
  <c r="AD11" i="1"/>
  <c r="AD13" i="1"/>
  <c r="R13" i="1"/>
  <c r="N13" i="1"/>
  <c r="O14" i="2"/>
  <c r="R11" i="1"/>
  <c r="N30" i="1"/>
  <c r="AC16" i="2"/>
  <c r="AD16" i="2" s="1"/>
  <c r="M16" i="2"/>
  <c r="N16" i="2" s="1"/>
  <c r="Z74" i="2"/>
  <c r="AD74" i="2"/>
  <c r="R72" i="2"/>
  <c r="Z72" i="2"/>
  <c r="V72" i="2"/>
  <c r="R76" i="1"/>
  <c r="N76" i="1"/>
  <c r="AD18" i="2"/>
  <c r="R27" i="2"/>
  <c r="N32" i="1"/>
  <c r="V29" i="1"/>
  <c r="N74" i="2"/>
  <c r="N73" i="2"/>
  <c r="Z34" i="2"/>
  <c r="V27" i="2"/>
  <c r="N12" i="2"/>
  <c r="N31" i="2"/>
  <c r="AD28" i="1"/>
  <c r="Z25" i="1"/>
  <c r="V18" i="2"/>
  <c r="AD10" i="2"/>
  <c r="V28" i="1"/>
  <c r="V12" i="2"/>
  <c r="Z7" i="2"/>
  <c r="AD76" i="1"/>
  <c r="R33" i="1"/>
  <c r="V19" i="1"/>
  <c r="Z11" i="1"/>
  <c r="Z10" i="2"/>
  <c r="AD5" i="2"/>
  <c r="R19" i="1"/>
  <c r="AD5" i="1"/>
  <c r="Z8" i="1"/>
  <c r="R25" i="2"/>
  <c r="Z6" i="1"/>
  <c r="N24" i="2"/>
  <c r="V24" i="2"/>
  <c r="S17" i="2"/>
  <c r="V17" i="2"/>
  <c r="S14" i="2"/>
  <c r="V14" i="2"/>
  <c r="V73" i="1"/>
  <c r="R24" i="2"/>
  <c r="S81" i="1"/>
  <c r="Q44" i="1"/>
  <c r="R44" i="1" s="1"/>
  <c r="AC17" i="1"/>
  <c r="AD17" i="1" s="1"/>
  <c r="N45" i="1"/>
  <c r="Y44" i="1"/>
  <c r="Z44" i="1" s="1"/>
  <c r="Y17" i="1"/>
  <c r="Z17" i="1" s="1"/>
  <c r="AC16" i="1"/>
  <c r="Z22" i="2"/>
  <c r="Z29" i="1"/>
  <c r="N26" i="1"/>
  <c r="AD33" i="1"/>
  <c r="N29" i="1"/>
  <c r="AD22" i="2"/>
  <c r="N73" i="1"/>
  <c r="R26" i="1"/>
  <c r="AD77" i="2"/>
  <c r="N34" i="2"/>
  <c r="V25" i="2"/>
  <c r="V22" i="2"/>
  <c r="Y16" i="2"/>
  <c r="W16" i="2" s="1"/>
  <c r="V45" i="1"/>
  <c r="Z33" i="1"/>
  <c r="V30" i="1"/>
  <c r="AD26" i="1"/>
  <c r="AD21" i="1"/>
  <c r="Y16" i="1"/>
  <c r="W16" i="1" s="1"/>
  <c r="V11" i="1"/>
  <c r="R78" i="1"/>
  <c r="U44" i="1"/>
  <c r="V44" i="1" s="1"/>
  <c r="R41" i="1"/>
  <c r="U17" i="1"/>
  <c r="S17" i="1" s="1"/>
  <c r="U16" i="1"/>
  <c r="V16" i="1" s="1"/>
  <c r="V33" i="1"/>
  <c r="Z21" i="1"/>
  <c r="R21" i="1"/>
  <c r="Z24" i="2"/>
  <c r="N22" i="2"/>
  <c r="AD97" i="1"/>
  <c r="AA97" i="1"/>
  <c r="V42" i="2"/>
  <c r="N42" i="2"/>
  <c r="AD12" i="2"/>
  <c r="V8" i="2"/>
  <c r="N6" i="2"/>
  <c r="R73" i="1"/>
  <c r="AD27" i="1"/>
  <c r="AD6" i="2"/>
  <c r="Z41" i="1"/>
  <c r="AC14" i="1"/>
  <c r="Q14" i="1"/>
  <c r="N33" i="1"/>
  <c r="V6" i="2"/>
  <c r="N78" i="1"/>
  <c r="R30" i="1"/>
  <c r="N97" i="2"/>
  <c r="K97" i="2"/>
  <c r="R77" i="2"/>
  <c r="O77" i="2"/>
  <c r="W95" i="1"/>
  <c r="Z95" i="1"/>
  <c r="S77" i="1"/>
  <c r="V77" i="1"/>
  <c r="AD82" i="1"/>
  <c r="AA82" i="1"/>
  <c r="V16" i="2"/>
  <c r="S16" i="2"/>
  <c r="R16" i="2"/>
  <c r="O16" i="2"/>
  <c r="AA15" i="2"/>
  <c r="AD15" i="2"/>
  <c r="N14" i="1"/>
  <c r="K14" i="1"/>
  <c r="W17" i="1"/>
  <c r="N39" i="1"/>
  <c r="K39" i="1"/>
  <c r="AA39" i="1"/>
  <c r="AD39" i="1"/>
  <c r="R15" i="1"/>
  <c r="AD9" i="2"/>
  <c r="O97" i="2"/>
  <c r="R97" i="2"/>
  <c r="AA81" i="2"/>
  <c r="AD81" i="2"/>
  <c r="V77" i="2"/>
  <c r="S77" i="2"/>
  <c r="AD47" i="2"/>
  <c r="R47" i="2"/>
  <c r="Z39" i="2"/>
  <c r="N44" i="2"/>
  <c r="K44" i="2"/>
  <c r="K15" i="2"/>
  <c r="N15" i="2"/>
  <c r="W14" i="1"/>
  <c r="AD16" i="1"/>
  <c r="AA16" i="1"/>
  <c r="Z9" i="1"/>
  <c r="V9" i="2"/>
  <c r="Z39" i="1"/>
  <c r="R9" i="1"/>
  <c r="O81" i="2"/>
  <c r="R81" i="2"/>
  <c r="K77" i="2"/>
  <c r="N77" i="2"/>
  <c r="N97" i="1"/>
  <c r="K97" i="1"/>
  <c r="AD14" i="2"/>
  <c r="AA14" i="2"/>
  <c r="N39" i="2"/>
  <c r="K39" i="2"/>
  <c r="N44" i="1"/>
  <c r="K95" i="2"/>
  <c r="N95" i="2"/>
  <c r="Z77" i="2"/>
  <c r="W77" i="2"/>
  <c r="W14" i="2"/>
  <c r="Z14" i="2"/>
  <c r="R95" i="1"/>
  <c r="O95" i="1"/>
  <c r="Z82" i="1"/>
  <c r="W82" i="1"/>
  <c r="AD78" i="2"/>
  <c r="R78" i="2"/>
  <c r="R39" i="2"/>
  <c r="O39" i="2"/>
  <c r="N82" i="1"/>
  <c r="K82" i="1"/>
  <c r="AA16" i="2"/>
  <c r="R9" i="2"/>
  <c r="Z97" i="2"/>
  <c r="W97" i="2"/>
  <c r="AD97" i="2"/>
  <c r="AA97" i="2"/>
  <c r="S82" i="2"/>
  <c r="V82" i="2"/>
  <c r="N78" i="2"/>
  <c r="V47" i="2"/>
  <c r="AD40" i="2"/>
  <c r="N40" i="2"/>
  <c r="Z40" i="2"/>
  <c r="R40" i="2"/>
  <c r="N25" i="2"/>
  <c r="N47" i="2"/>
  <c r="V44" i="2"/>
  <c r="Z25" i="2"/>
  <c r="AD17" i="2"/>
  <c r="AA17" i="2"/>
  <c r="Z9" i="2"/>
  <c r="AD95" i="1"/>
  <c r="AA95" i="1"/>
  <c r="K95" i="1"/>
  <c r="N95" i="1"/>
  <c r="V82" i="1"/>
  <c r="S82" i="1"/>
  <c r="K81" i="1"/>
  <c r="N81" i="1"/>
  <c r="R44" i="2"/>
  <c r="O44" i="2"/>
  <c r="AD39" i="2"/>
  <c r="V39" i="2"/>
  <c r="S39" i="2"/>
  <c r="R82" i="1"/>
  <c r="O82" i="1"/>
  <c r="R15" i="2"/>
  <c r="W15" i="2"/>
  <c r="Z15" i="2"/>
  <c r="AD45" i="1"/>
  <c r="R45" i="1"/>
  <c r="V14" i="1"/>
  <c r="S14" i="1"/>
  <c r="R6" i="1"/>
  <c r="N6" i="1"/>
  <c r="K17" i="1"/>
  <c r="AD42" i="1"/>
  <c r="R42" i="1"/>
  <c r="R39" i="1"/>
  <c r="O39" i="1"/>
  <c r="Z15" i="1"/>
  <c r="W15" i="1"/>
  <c r="N9" i="1"/>
  <c r="Z30" i="1"/>
  <c r="AD6" i="1"/>
  <c r="W17" i="2" l="1"/>
  <c r="W44" i="2"/>
  <c r="AD44" i="2"/>
  <c r="O17" i="2"/>
  <c r="K15" i="1"/>
  <c r="V17" i="1"/>
  <c r="AA17" i="1"/>
  <c r="O16" i="1"/>
  <c r="AD15" i="1"/>
  <c r="S16" i="1"/>
  <c r="W44" i="1"/>
  <c r="Z16" i="1"/>
  <c r="K16" i="2"/>
  <c r="O44" i="1"/>
  <c r="S44" i="1"/>
  <c r="Z16" i="2"/>
  <c r="O14" i="1"/>
  <c r="R14" i="1"/>
  <c r="AA14" i="1"/>
  <c r="AD14" i="1"/>
</calcChain>
</file>

<file path=xl/sharedStrings.xml><?xml version="1.0" encoding="utf-8"?>
<sst xmlns="http://schemas.openxmlformats.org/spreadsheetml/2006/main" count="1107" uniqueCount="279">
  <si>
    <t>Domain</t>
  </si>
  <si>
    <t xml:space="preserve">Indicator Description </t>
  </si>
  <si>
    <t>Numerator Source/Definition</t>
  </si>
  <si>
    <t>Denominator Source/Definition</t>
  </si>
  <si>
    <t>Rationale for target setting</t>
  </si>
  <si>
    <t>2025 Achievement (2026 Spectrum)</t>
  </si>
  <si>
    <t>Target</t>
  </si>
  <si>
    <t>GFATM Code</t>
  </si>
  <si>
    <t>Disaggregation</t>
  </si>
  <si>
    <t>Baseline Year</t>
  </si>
  <si>
    <t>Num</t>
  </si>
  <si>
    <t>Den</t>
  </si>
  <si>
    <t>Result</t>
  </si>
  <si>
    <t>Change from 2025</t>
  </si>
  <si>
    <t>Impact</t>
  </si>
  <si>
    <t>Percentage of people living with HIV</t>
  </si>
  <si>
    <t>Number of people living with HIV
Annual Spectrum model estimates
KP: BBSS or annual consensus estimates (MOH/UNAIDS)</t>
  </si>
  <si>
    <t>Total population
Annual Spectrum model estimates
KP: BBSS or annual consensus estimates (MOH/UNAIDS)</t>
  </si>
  <si>
    <t>HIV I-13</t>
  </si>
  <si>
    <t>All</t>
  </si>
  <si>
    <t>2026 Spectrum model (Malawi_2026_v12) projection for PLHIV and total population, 2025-2030.</t>
  </si>
  <si>
    <t>&lt;5</t>
  </si>
  <si>
    <t>5-14</t>
  </si>
  <si>
    <t>15+</t>
  </si>
  <si>
    <t>Female</t>
  </si>
  <si>
    <t>Male</t>
  </si>
  <si>
    <t>Female 15-19</t>
  </si>
  <si>
    <t>Female 20-24</t>
  </si>
  <si>
    <t>Male 15-19</t>
  </si>
  <si>
    <t>Male 20-24</t>
  </si>
  <si>
    <t>HIV I-10</t>
  </si>
  <si>
    <t>FSW</t>
  </si>
  <si>
    <t>Targeted prevalence decline proportional to prevalence decline in females 15+ in the general population (Spectrum-derived trend, 2025 baseline).</t>
  </si>
  <si>
    <t>HIV I-9a</t>
  </si>
  <si>
    <t>MSM</t>
  </si>
  <si>
    <t>Targeted prevalence decline proportional to prevalence decline in males 15+ in the general population (Spectrum-derived trend, 2025 baseline).</t>
  </si>
  <si>
    <t>HIV I-9b</t>
  </si>
  <si>
    <t>Transgender</t>
  </si>
  <si>
    <t>No population-specific rationale in prior NSP; targeted prevalence decline assumed proportional to males 15+ general population trend, consistent with the MSM assumption, pending KP-specific size/prevalence trend data.</t>
  </si>
  <si>
    <t>HIV I-11</t>
  </si>
  <si>
    <t>PWID</t>
  </si>
  <si>
    <t>Number of new HIV infections per 1,000 uninfected population</t>
  </si>
  <si>
    <t>Number of people newly infected with HIV during the reporting period
Annual Spectrum model estimates</t>
  </si>
  <si>
    <t>Number of uninfected population (or person-years exposed) x 1,000
Annual Spectrum model estimates</t>
  </si>
  <si>
    <t>HIV I-14</t>
  </si>
  <si>
    <t>2026 Spectrum model (Malawi_2026_v12) projection for new infections and uninfected population, 2025-2030.</t>
  </si>
  <si>
    <t>&lt;15</t>
  </si>
  <si>
    <t>Number of AIDS related deaths per 100,000 population</t>
  </si>
  <si>
    <t>Number of people dying from AIDS-related causes during the reporting period
Annual Spectrum model estimates</t>
  </si>
  <si>
    <t>Total population regardless of HIV status x 100,000
Annual Spectrum model estimates</t>
  </si>
  <si>
    <t>HIV I-4</t>
  </si>
  <si>
    <t>2026 Spectrum model (Malawi_2026_v12) projection for AIDS-related deaths and total population, 2025-2030.</t>
  </si>
  <si>
    <t>Percentage of children newly infected with HIV from mother-to-child transmission among women living with HIV delivering in the past 12 months</t>
  </si>
  <si>
    <t>Number of children newly infected with HIV via mother-to-child transmission
Annual Spectrum model estimates: "Number of new child infections due to mother-to-child transmission"</t>
  </si>
  <si>
    <t>Number of women living with HIV delivering in the past 12 months
Annual Spectrum model estimates: "Mothers needing PMTCT"</t>
  </si>
  <si>
    <t>HIV I-6</t>
  </si>
  <si>
    <t>None</t>
  </si>
  <si>
    <t>2026 Spectrum model (Malawi_2026_v12) final MTCT transmission rate used directly as the Result for each year, 2025-2030 (no interpolation); denominator is mothers needing PMTCT, numerator back-calculated as denominator × rate.</t>
  </si>
  <si>
    <t>Outcome</t>
  </si>
  <si>
    <t>Percentage of people living with HIV who know their HIV status at the end of the reporting period.</t>
  </si>
  <si>
    <t>Number of people living with HIV who know their HIV status
Annual Spectrum model estimates
KP: BBSS or annual consensus estimates (MOH/UNAIDS)</t>
  </si>
  <si>
    <t>HIV O-11</t>
  </si>
  <si>
    <t>Baseline from 2026 Spectrum treatment cascade (Malawi_2026_v12). Target set at 95% by 2030 in line with UNAIDS 95-95-95 first-95 goal, maintained flat from 2026 onward regardless of baseline.</t>
  </si>
  <si>
    <t>Children's target set at 90% by 2030 (linear scale-up from 2025 baseline), lower than the 95% adult target due to the lower baseline and the greater diagnostic and disclosure barriers to paediatric case-finding.</t>
  </si>
  <si>
    <t xml:space="preserve">Percentage of people living with HIV and on ART who are virologically suppressed </t>
  </si>
  <si>
    <t>Number of people living with HIV on ART for at least 6 months and with at least one routine VL test result who have virological suppression (&lt;1000 copies/mL) during the reporting period</t>
  </si>
  <si>
    <t>Number of people living with HIV on ART for at least 6 months with at least one routine VL result during the reporting period</t>
  </si>
  <si>
    <t>HIV O-12</t>
  </si>
  <si>
    <t>Baseline from 2026 Spectrum treatment cascade (Malawi_2026_v12); denominator is number on ART (third-95 indicator). Target set at 95% by 2030 in line with UNAIDS 95-95-95 third-95 goal, maintained flat from 2026 onward regardless of baseline.</t>
  </si>
  <si>
    <t>Children's target set at 90% by 2030 (linear scale-up from 2025 baseline), lower than the 95% adult target due to the lower baseline in paediatric viral suppression.</t>
  </si>
  <si>
    <t>Percentage of people who reported using a condom at last sexual intercourse with a nonmarital, noncohabiting partner</t>
  </si>
  <si>
    <t>General population groups: number of people who reported using a condom at the last sexual intercourse with a nonmarital, noncohabitating partner
MSM and TG: condom use at last anal sex
FSW: condom use with their most recent client
Source: MICS, DHS, MPHIA, BBSS</t>
  </si>
  <si>
    <t>General population groups: number of people who reported a non-marital partner in the last 12 months
MSM and TG: reported anal sex in the last 12 months
FSW: reported sex with client in the last 12 months
Source: MICS, DHS, MPHIA, BBSS</t>
  </si>
  <si>
    <t>Females 15-49</t>
  </si>
  <si>
    <t>Targeted linear scale-up from respective baseline (2024 MDHS) to 80% usage by 2030</t>
  </si>
  <si>
    <t>Males 15-49</t>
  </si>
  <si>
    <t>HIV O-10</t>
  </si>
  <si>
    <t>AGYW 15-24</t>
  </si>
  <si>
    <t>HIV O-7</t>
  </si>
  <si>
    <t>ABYM 15-24</t>
  </si>
  <si>
    <t>HIV O-5</t>
  </si>
  <si>
    <t>HIV O-4a</t>
  </si>
  <si>
    <t>Percentage of young people with comprehensive knowledge of HIV prevention</t>
  </si>
  <si>
    <t>Number of respondents who have comprehensive knowledge about HIV transmission
MICS, DHS</t>
  </si>
  <si>
    <t>Number of young people 15-24 in the population survey
MICS, DHS</t>
  </si>
  <si>
    <t>Used data for 2024 MDHS as baseline and applied straight-line (linear) projections.</t>
  </si>
  <si>
    <t>Percentage of infants born to HIV-infected women discharged uninfected at 24 months of age (24 months infant HIV-free survival)</t>
  </si>
  <si>
    <t>Number of HIV exposed children with a negative HIV test result from 6 weeks after cessation of breastfeeding
DHA-MIS 24m age cohort report: discharged uninfected</t>
  </si>
  <si>
    <t>Number of children retained alive in the HIV exposed follow-up program until at least 6 weeks after cessation of breastfeeding
DHA-MIS 24m age cohort report: Total not transferred out</t>
  </si>
  <si>
    <t>Children 24 months</t>
  </si>
  <si>
    <t>The global programmatic target for HIV-free survival at 24 months is 95% of infants born to mothers living with HIV.</t>
  </si>
  <si>
    <t>Output</t>
  </si>
  <si>
    <t>Number of condoms distributed in the reporting period</t>
  </si>
  <si>
    <t>Number of condoms and lubricants delivered to health facilities and community distribution points in the reporting period
DHA-MIS delivery records</t>
  </si>
  <si>
    <t>Condom Needs Estimation Tool</t>
  </si>
  <si>
    <t>Male condoms = 95% of total condoms distributed (2025-2030 national commodity plan).</t>
  </si>
  <si>
    <t>Female condoms = 5% of total condoms distributed (2025-2030 national commodity plan).</t>
  </si>
  <si>
    <t>Number of medical male circumcisions performed according to national standards</t>
  </si>
  <si>
    <t xml:space="preserve">Number of voluntary medical male circumcisions performed during the reporting period according to national standards </t>
  </si>
  <si>
    <t>DHIS2</t>
  </si>
  <si>
    <t>The cumulative target between 2020 and 2025 was 900,000 VMMCs (80%). However, by end of 2025 only 556,288 (62%) VMMCs were done and the gap is 343,712. VMMC program has decided to carry the balance forward to 2026-2030 NSP. Therefore, the remaining 343,712 VMMCs has been equally distributed across the 2026-2030 NSP period.</t>
  </si>
  <si>
    <t>Number of people who received any PrEP product at least once during the reporting period.</t>
  </si>
  <si>
    <t>Number of people prescribed or dispensed any form of PrEP at least once during the reporting period.</t>
  </si>
  <si>
    <t>NA</t>
  </si>
  <si>
    <t>KP-6e</t>
  </si>
  <si>
    <t>Targets from the National PrEP Scale-up Plan (programme targets by population, 2025-2030); reported as absolute number of people receiving PrEP.</t>
  </si>
  <si>
    <t>YP-4</t>
  </si>
  <si>
    <t>AGYW (15-29)</t>
  </si>
  <si>
    <t>KP-6a</t>
  </si>
  <si>
    <t>KP-6c</t>
  </si>
  <si>
    <t>KP-6d</t>
  </si>
  <si>
    <t>Pregnant &amp; breastfeeding</t>
  </si>
  <si>
    <t>KP-6b</t>
  </si>
  <si>
    <t>STI clients</t>
  </si>
  <si>
    <t>Family planning</t>
  </si>
  <si>
    <t>Percentage of blood units screened for HIV, syphilis, hepatitis B and hepatitis C</t>
  </si>
  <si>
    <t>Number of blood units collected that were screened for at least HIV, syphilis, hepatitis B and C</t>
  </si>
  <si>
    <t>Total blood units collected from voluntary non-remunerated donors by MBTS and from replacement donors by hospitals</t>
  </si>
  <si>
    <t>MBTS screen 100% of their collected blood units for TTIs while around 99% of replacement donor blood units at facility level are comprehensively screened for TTIs. Therefore, 99% has been set as a yearly target for the NSP period.</t>
  </si>
  <si>
    <t>Percentage of  total HIV response expenditure finance through domestic resources</t>
  </si>
  <si>
    <t>Total annual expenditure on the HIV response fianced from domestic resources</t>
  </si>
  <si>
    <t>Total annual expenditure on HIV response from all sources (domestic+ external/donor financing)</t>
  </si>
  <si>
    <t>Used 2023 and 2019 NASA reports and applied a linear projection to reach the 30% target in 2030 (low- and middle-income countries target for 2030 set by UNAIDS).</t>
  </si>
  <si>
    <t>Coverage</t>
  </si>
  <si>
    <t>Percentage of people on ART among all people living with HIV at the end of the reporting period</t>
  </si>
  <si>
    <t>Number of people on ART at the end of the reporting period.
Annual Spectrum model estimates
KP: BBSS or annual consensus estimates (MOH/UNAIDS)</t>
  </si>
  <si>
    <t>Estimated number of people living with HIV.
Annual Spectrum model estimates
KP: BBSS or annual consensus estimates (MOH/UNAIDS)</t>
  </si>
  <si>
    <t>TCS-1.1</t>
  </si>
  <si>
    <t>2026 Spectrum model (Malawi_2026_v12) projection for number on ART and PLHIV, 2025-2030.</t>
  </si>
  <si>
    <t>TCS-1b</t>
  </si>
  <si>
    <t>Adults 15+</t>
  </si>
  <si>
    <t>TCS-1c</t>
  </si>
  <si>
    <t>Children &lt;15</t>
  </si>
  <si>
    <t>FSWs</t>
  </si>
  <si>
    <t>Targeted ART coverage decline/scale-up proportional to females 15+ general population ART coverage trend (2025 KP baseline from Spectrum key-population module).</t>
  </si>
  <si>
    <t>MSMs</t>
  </si>
  <si>
    <t>Targeted ART coverage scale-up proportional to males 15+ general population ART coverage trend (2025 KP baseline from Spectrum key-population module).</t>
  </si>
  <si>
    <t>Transgenders</t>
  </si>
  <si>
    <t>Spectrum key-population module reports 0% ART coverage at baseline for this population — this is a data gap (no coverage survey/programme data available), not a true zero. Numerator/Result left blank rather than showing a misleading 0% across the NSP period; flagged for follow-up with programme data.</t>
  </si>
  <si>
    <t>Percentage of health facilities providing advanced HIV disease screening</t>
  </si>
  <si>
    <t>Number of facilities that provided at least one of each of the following tests in the reporting period: CD4, TB (urine LAM or Xpert), serum CrAg
DHA-MIS data from quarterly site supervision</t>
  </si>
  <si>
    <t>Number of facilities with at least 1 patient on ART during the reporting period</t>
  </si>
  <si>
    <t>2025 baseline: 327 of 850 facilities providing advanced HIV disease screening. Target 95% of facilities by 2030, linear increase from baseline; denominator (total facilities) held constant pending an updated facility count.</t>
  </si>
  <si>
    <t>Proportion of ART patients screened for hypertension</t>
  </si>
  <si>
    <t>Number of ART patients 40+ years who had at least one BP result documented in the last 12 months
DHA-MIS: quarterly ART cohort reports</t>
  </si>
  <si>
    <t>Number of patients currently 40+ years who were retained on ART at the end of the reporting period
DHA-MIS: cumulative cohort report and age-disaggregated cohort report from EMRS</t>
  </si>
  <si>
    <t>40+</t>
  </si>
  <si>
    <t>2025 baseline of 35% (national programme data). Denominator is number of ART patients aged 40+, computed from the 2026 Spectrum model (Malawi_2026_v12) age-disaggregated ART output. Target of 80% by 2030, linear scale-up from the 2025 baseline.</t>
  </si>
  <si>
    <t>Percentage of key and other vulnerable populations reached with HIV prevention programs - defined package of services.</t>
  </si>
  <si>
    <t xml:space="preserve">Number of KOVP have received a defined package of HIV prevention services </t>
  </si>
  <si>
    <t>Estimated number of KOVP in the targeted population (area)</t>
  </si>
  <si>
    <t>YP-2</t>
  </si>
  <si>
    <t>AGYW</t>
  </si>
  <si>
    <t>Target set at 90% coverage, aligned with the UNAIDS Global AIDS Strategy prevention coverage benchmark for key and priority populations (combination prevention package reach). No baseline achievement figure or population-size-based denominator has been supplied yet — this is a target-only entry pending programme data.</t>
  </si>
  <si>
    <t>KP-1a</t>
  </si>
  <si>
    <t>KP-1b</t>
  </si>
  <si>
    <t>KP-1c</t>
  </si>
  <si>
    <t>KP-1d</t>
  </si>
  <si>
    <t>KP-1e</t>
  </si>
  <si>
    <t>Other vulnerable</t>
  </si>
  <si>
    <t>KP-1f</t>
  </si>
  <si>
    <t>Prisoners</t>
  </si>
  <si>
    <t>Percentage of facilities with tracer health products for HIV available on the day of the visit or day of reporting
(on-shelf availability)</t>
  </si>
  <si>
    <t>Number of facilities with physical stock of standard first line ART during quarterly integrated supervision (at least 1 pack of standard 1st line ART / TB treatment on the shelf on the day of supervision).</t>
  </si>
  <si>
    <t>RSSH-O3</t>
  </si>
  <si>
    <t>Target set at 95% tracer commodity availability across the NSP period, in line with national supply chain performance standards. No 2025 baseline achievement figure has been supplied yet — flagged for follow-up.</t>
  </si>
  <si>
    <t>Percentage of pregnant women who know their HIV status.</t>
  </si>
  <si>
    <t>Number of pregnant women attending antenatal clinics and/or giving birth at a facility who were tested for HIV during pregnancy, at labour and/or delivery, or who already knew they were HIV-positive at the first antenatal care visit</t>
  </si>
  <si>
    <t>Estimated number of  pregnant women giving birth in the past 12 months</t>
  </si>
  <si>
    <t>VT-1</t>
  </si>
  <si>
    <t>Females pregnant</t>
  </si>
  <si>
    <t>Denominator is total expected births (DemProj, 2026 Spectrum model Malawi_2026_v12). Target set at 95% throughout 2025-2030; numerator computed as 95% of expected births each year.</t>
  </si>
  <si>
    <t>Percentage of women accessing antenatal care services who were tested for syphilis.</t>
  </si>
  <si>
    <t>Number of women attending antenatal care services who were tested for syphilis at first ANC visit.
DHA-MIS: ANC cohort report for women who completed ANC in the reporting period</t>
  </si>
  <si>
    <t>Number of women attending antenatal care services at first ANC visit.
DHA-MIS: ANC cohort report for women who completed ANC in the reporting period</t>
  </si>
  <si>
    <t>VT-3</t>
  </si>
  <si>
    <t>2025 baseline from DHA-MIS ANC booking cohort (692,918 women; 92% tested for syphilis). Target set at 95% by 2026 onward; denominator held at the baseline ANC cohort size pending an official growth projection.</t>
  </si>
  <si>
    <t>Percentage of HIV-exposed infants receiving a virological test for HIV within 2 months of birth.</t>
  </si>
  <si>
    <t>Number of HIV exposed infants born during the reporting period who received a virological HIV test within two months of birth</t>
  </si>
  <si>
    <t xml:space="preserve">Estimated number of HIV-positive women who delivered during the reporting period </t>
  </si>
  <si>
    <t>VT-2</t>
  </si>
  <si>
    <t>Children 2 months</t>
  </si>
  <si>
    <t>2025 baseline from DHA-MIS (25,925 of 29,358 HIV-exposed infants tested within 2 months). From 2026, denominator switches to the 2026 Spectrum model (Malawi_2026_v12) projection of mothers needing PMTCT; numerator computed to meet the 95% target for each year.</t>
  </si>
  <si>
    <t>Percentage of STI clinic patients who know their HIV status</t>
  </si>
  <si>
    <t>Number of patients attending STI clinics who were tested for HIV, or who already knew they were HIV-positive</t>
  </si>
  <si>
    <t>Number of patients attending STI clinics during the reporting period</t>
  </si>
  <si>
    <t>2025 baseline: 732,021 STI clients treated, 90% ascertained for HIV status. Target 95% by 2030, linear increase. Denominators for 2026-2030 not yet projected — to be supplied separately; only the target Result (%) is set for now.</t>
  </si>
  <si>
    <t>Proportion of people living with HIV initiating the first and/or the second line ART who receive CD4 testing</t>
  </si>
  <si>
    <t>Number of people living with HIV initiating the first or second line ART who received CD4 testing during the reporting period</t>
  </si>
  <si>
    <t>Number of people living with HIV who initiated the first line and/or second line ART during the reporting period</t>
  </si>
  <si>
    <t>TCS-12</t>
  </si>
  <si>
    <t>Numerator: patients newly initiated on ART who had CD4 testing conducted per guidelines. Denominator: patients newly initiated on ART (annual total, aggregated from ART_interpolation_trends.xlsx quarterly model). Baseline 65.48%; target 95% by 2030, linear increase. Reporting system: HMIS. Geographic coverage: all. Grant contribution: 100%.</t>
  </si>
  <si>
    <t>Percentage of people living with HIV newly initiated on ART who were screened for TB</t>
  </si>
  <si>
    <t>Number of PLHIV newly initiated on ART who were screened for TB during the specified reporting period</t>
  </si>
  <si>
    <t>Number of PLHIV who newly initiated ART during the reporting period</t>
  </si>
  <si>
    <t>TB/HIV-3.1a</t>
  </si>
  <si>
    <t>Denominator: patients newly initiated on ART (annual total, aggregated from ART_interpolation_trends.xlsx quarterly model) — same series used for TCS-12 (CD4) and TB/HIV-4.1a (TPT). Baseline and target numerator/result pending confirmation.</t>
  </si>
  <si>
    <t>Percentage of people newly enrolled on antiretroviral therapy who started TB preventive treatment (TPT) during the reporting period</t>
  </si>
  <si>
    <t>Number of people newly enrolled on antiretroviral therapy during the reporting period who also started TB preventive treatment during the reporting period</t>
  </si>
  <si>
    <t>TB/HIV-4.1a</t>
  </si>
  <si>
    <t>Numerator: patients newly initiated on ART who started a course of TB preventive therapy per national guidelines (patients who completed a prior TPT/TB treatment course are excluded per Malawi clinical guidelines). Denominator: patients newly initiated on ART (annual total, aggregated from ART_interpolation_trends.xlsx quarterly model). Baseline 60%; target 95% by 2030, linear increase. Reporting system: HMIS. Geographic coverage: all. Grant contribution: 100%.</t>
  </si>
  <si>
    <t>GC8 Alignment Notes — NSP 2026-2030 Results Framework</t>
  </si>
  <si>
    <t>1. Sheet structure</t>
  </si>
  <si>
    <t>• Indicators are now grouped in sections in this order: IMPACT → OUTCOME → OUTPUT → COVERAGE, each with a colored section banner row.</t>
  </si>
  <si>
    <t>• Age/sex disaggregation follows GC8 (10 April 2026) exactly: "&lt;5"/"5-14"/"15+" (or "&lt;15"/"15+"), plus "15-19"/"20-24" by sex where GC8 requires Gender|Age.</t>
  </si>
  <si>
    <t>• Where an indicator also carries key-population rows (PLHIV, ART coverage, VL suppression), those are kept within the same indicator block, tagged with the correct GC8 code where one exists (e.g. PLHIV: FSW=HIV I-10, MSM=HIV I-9a, Transgender=HIV I-9b, PWID=HIV I-11, Other vulnerable=HIV I-12).</t>
  </si>
  <si>
    <t>• PrEP indicator: one overall "All" row (KP-6e) plus one row per population (no age split): AGYW 15-29 (YP-4), MSM (KP-6a), FSW (KP-6c), PWID (KP-6d), Transgender (KP-6b); Pregnant &amp; breastfeeding, STI clients, and Family planning added as population rows with no GC8 code currently available.</t>
  </si>
  <si>
    <t>• Removed invalid/unconfirmed codes: HIV O-9 (PWID condom use) and YP-6 (male circumcision) — neither appears in the GC8 guidance sheet supplied.</t>
  </si>
  <si>
    <t>2. New indicators added (this revision), correctly typed as Coverage per GC8</t>
  </si>
  <si>
    <t>• TCS-12 — Proportion of PLHIV initiating 1st/2nd line ART who receive CD4 testing. Disaggregation: All/&lt;15/15+/Female/Male.</t>
  </si>
  <si>
    <t>• TCS-13 — Percentage of people with Advanced HIV Disease (AHD) who receive core AHD diagnostic package. Disaggregation: All (GC8 disaggregates by diagnostic test type and CD4 count band, not age/sex — out of scope per current instruction).</t>
  </si>
  <si>
    <t>• TB/HIV-3.1a — Percentage of PLHIV newly initiated on ART who were screened for TB. Disaggregation: All/&lt;5/5-14/15+/Female/Male.</t>
  </si>
  <si>
    <t>• TB/HIV-4.1a — Percentage of people newly enrolled on ART who started TB preventive treatment (TPT). Disaggregation: All/&lt;5/5-14/15+ (GC8 does not specify a gender split for this indicator).</t>
  </si>
  <si>
    <t>3. GC8 disaggregation dimensions intentionally not implemented (scope limited to age/sex groups)</t>
  </si>
  <si>
    <t>• HIV status (Positive/Negative/Unknown) — required by GC8 for VT-1, VT-2.</t>
  </si>
  <si>
    <t>• Gender (Female/Male/Other) — required by GC8 for HIV I-10, HIV I-11, KP-1c.</t>
  </si>
  <si>
    <t>• PrEP product type (Oral/Injectable/DPV-VR) — required by GC8 for all PrEP indicators.</t>
  </si>
  <si>
    <t>• AHD diagnostic test type / CD4 count band — required by GC8 for TCS-13.</t>
  </si>
  <si>
    <t>4. Indicators still missing from framework entirely</t>
  </si>
  <si>
    <t>• HTS-2, HTS-3a-f (KP/AGYW HIV testing &amp; know results)</t>
  </si>
  <si>
    <t>• TCS-8, TCS-10, TCS-11</t>
  </si>
  <si>
    <t>• TB/HIV-5, TB/HIV-6</t>
  </si>
  <si>
    <t>• Local council review meetings, national research dissemination workshops, prevention-pillar financing indicator.</t>
  </si>
  <si>
    <t>5. KP prevention-reach indicator simplified (latest revision)</t>
  </si>
  <si>
    <t>• Removed age-band split (15-19/20-24/25+) for the KP prevention-reach indicator. Now one overall row per key population: AGYW (YP-2), MSM (KP-1a), Transgender (KP-1b), FSW (KP-1c), PWID (KP-1d), Other vulnerable (KP-1e), Prisoners (KP-1f).</t>
  </si>
  <si>
    <t>SPECTRUM INPUTS — Malawi_2026_v12 (source: Target_setting_new_nsp.xlsx)</t>
  </si>
  <si>
    <t>Total population</t>
  </si>
  <si>
    <t>People living with HIV (PLHIV)</t>
  </si>
  <si>
    <t>Number on ART</t>
  </si>
  <si>
    <t>New HIV infections</t>
  </si>
  <si>
    <t>AIDS-related deaths</t>
  </si>
  <si>
    <t>Uninfected population (Total pop − PLHIV)</t>
  </si>
  <si>
    <t>Key Populations — Baseline 2025 (source labelled "2024" in Spectrum file, confirmed as 2025 baseline)</t>
  </si>
  <si>
    <t>Metric</t>
  </si>
  <si>
    <t>TG</t>
  </si>
  <si>
    <t>Other men</t>
  </si>
  <si>
    <t>Other women</t>
  </si>
  <si>
    <t>Children</t>
  </si>
  <si>
    <t>HIV prevalence (%)</t>
  </si>
  <si>
    <t>ART coverage (%)</t>
  </si>
  <si>
    <t>New infections (number)</t>
  </si>
  <si>
    <t>Population size estimate</t>
  </si>
  <si>
    <t>PMTCT / Mother-to-Child Transmission</t>
  </si>
  <si>
    <t>Mothers needing PMTCT (denominator)</t>
  </si>
  <si>
    <t>Mothers receiving PMTCT</t>
  </si>
  <si>
    <t>Final transmission rate (%) — MTCT result</t>
  </si>
  <si>
    <t>Reference trend for KP proportional target-setting (Female 15+ / Male 15+ HIV prevalence %)</t>
  </si>
  <si>
    <t>Series</t>
  </si>
  <si>
    <t>Female 15+ HIV prevalence (%)</t>
  </si>
  <si>
    <t>Male 15+ HIV prevalence (%)</t>
  </si>
  <si>
    <t>Reference trend for KP ART-coverage proportional target-setting (Female 15+ / Male 15+ ART coverage %)</t>
  </si>
  <si>
    <t>Female 15+ ART coverage (%)</t>
  </si>
  <si>
    <t>Male 15+ ART coverage (%)</t>
  </si>
  <si>
    <t>Treatment Cascade Baseline 2025 (user-supplied Spectrum cascade numbers)</t>
  </si>
  <si>
    <t>Category</t>
  </si>
  <si>
    <t>PLHIV</t>
  </si>
  <si>
    <t>Know status</t>
  </si>
  <si>
    <t>On ART</t>
  </si>
  <si>
    <t>Virally suppressed</t>
  </si>
  <si>
    <t>All age groups</t>
  </si>
  <si>
    <t>All adults</t>
  </si>
  <si>
    <t>Children 0-14</t>
  </si>
  <si>
    <t>Adult males 15+</t>
  </si>
  <si>
    <t>Adult females 15+</t>
  </si>
  <si>
    <t>Total Births (DemProj, Spectrum Malawi_2026_v12) — denominator for VT-1</t>
  </si>
  <si>
    <t>Total Births</t>
  </si>
  <si>
    <t>Number on ART aged 40+ (Spectrum Malawi_2026_v12) — denominator for hypertension screening</t>
  </si>
  <si>
    <t>Number on ART aged 40+</t>
  </si>
  <si>
    <t>PrEP targets by population (programme targets, National PrEP Scale-up Plan)</t>
  </si>
  <si>
    <t>Group</t>
  </si>
  <si>
    <t>Total</t>
  </si>
  <si>
    <t>New ART Initiations (annual, aggregated from ART_interpolation_trends.xlsx quarterly model) — denominator for TCS-12 (CD4) and TB/HIV-4.1a (TPT)</t>
  </si>
  <si>
    <t>New ART Initiations (annual)</t>
  </si>
  <si>
    <t>Note: 2025 uses the 2026 annual total as a proxy — the quarterly interpolation model only provides annualized new-initiation figures starting 2026-Q1; no standalone 2025 annual total was available in the source file.</t>
  </si>
  <si>
    <t>Condoms Distributed — Total, Male (95%) and Female (5%) split</t>
  </si>
  <si>
    <t>Total condoms distributed</t>
  </si>
  <si>
    <t>Male condoms (95%)</t>
  </si>
  <si>
    <t>Female condoms (5%)</t>
  </si>
  <si>
    <t xml:space="preserve">Target set at 90% coverage, aligned with the UNAIDS Global AIDS Strategy prevention coverage benchmark for key and priority populations (combination prevention package reach). No baseline achievement figure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</si>
</sst>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%"/>
    <numFmt numFmtId="165" formatCode="0.0%"/>
    <numFmt numFmtId="166" formatCode="0.0"/>
  </numFmts>
  <fonts count="18" x14ac:knownFonts="1">
    <font>
      <sz val="11"/>
      <color theme="1"/>
      <name val="Calibri"/>
      <family val="2"/>
      <charset val="1"/>
    </font>
    <font>
      <sz val="10"/>
      <color theme="1"/>
      <name val="Arial Nova Cond"/>
      <family val="2"/>
      <charset val="1"/>
    </font>
    <font>
      <b/>
      <sz val="10"/>
      <color rgb="FFFFFFFF"/>
      <name val="Calibri"/>
      <charset val="1"/>
    </font>
    <font>
      <b/>
      <sz val="11"/>
      <color rgb="FFFFFFFF"/>
      <name val="Calibri"/>
      <charset val="1"/>
    </font>
    <font>
      <sz val="10"/>
      <name val="Calibri"/>
      <charset val="1"/>
    </font>
    <font>
      <b/>
      <sz val="10"/>
      <color rgb="FF203864"/>
      <name val="Calibri"/>
      <charset val="1"/>
    </font>
    <font>
      <b/>
      <sz val="10"/>
      <color rgb="FF7F1D1D"/>
      <name val="Calibri"/>
      <charset val="1"/>
    </font>
    <font>
      <i/>
      <sz val="10"/>
      <color rgb="FF404040"/>
      <name val="Calibri"/>
      <charset val="1"/>
    </font>
    <font>
      <i/>
      <sz val="10"/>
      <color rgb="FF2E7D32"/>
      <name val="Calibri"/>
      <charset val="1"/>
    </font>
    <font>
      <sz val="10"/>
      <color rgb="FFFF0000"/>
      <name val="Calibri"/>
      <charset val="1"/>
    </font>
    <font>
      <sz val="10"/>
      <color theme="1"/>
      <name val="Calibri"/>
      <charset val="1"/>
    </font>
    <font>
      <sz val="10"/>
      <color rgb="FF000000"/>
      <name val="Calibri"/>
      <charset val="1"/>
    </font>
    <font>
      <b/>
      <sz val="10"/>
      <color rgb="FF1F4E78"/>
      <name val="Calibri"/>
      <charset val="1"/>
    </font>
    <font>
      <b/>
      <sz val="10"/>
      <color rgb="FF9C0006"/>
      <name val="Calibri"/>
      <charset val="1"/>
    </font>
    <font>
      <i/>
      <sz val="10"/>
      <color rgb="FF548235"/>
      <name val="Calibri"/>
      <charset val="1"/>
    </font>
    <font>
      <b/>
      <sz val="11"/>
      <name val="Calibri"/>
      <charset val="1"/>
    </font>
    <font>
      <b/>
      <sz val="13"/>
      <name val="Calibri"/>
      <charset val="1"/>
    </font>
    <font>
      <i/>
      <sz val="9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2E5395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7C6D9"/>
      </left>
      <right style="thin">
        <color rgb="FFB7C6D9"/>
      </right>
      <top style="thin">
        <color rgb="FFB7C6D9"/>
      </top>
      <bottom style="thin">
        <color rgb="FFB7C6D9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/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4" fillId="0" borderId="0" xfId="0" applyFont="1" applyAlignment="1"/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165" fontId="8" fillId="4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/>
    <xf numFmtId="9" fontId="8" fillId="4" borderId="1" xfId="0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9" fontId="1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/>
    <xf numFmtId="0" fontId="15" fillId="0" borderId="0" xfId="0" applyFont="1" applyAlignment="1"/>
    <xf numFmtId="0" fontId="3" fillId="2" borderId="2" xfId="0" applyFont="1" applyFill="1" applyBorder="1" applyAlignment="1">
      <alignment horizontal="center"/>
    </xf>
    <xf numFmtId="0" fontId="0" fillId="0" borderId="2" xfId="0" applyFont="1" applyBorder="1" applyAlignment="1"/>
    <xf numFmtId="0" fontId="1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548235"/>
      <rgbColor rgb="FF800080"/>
      <rgbColor rgb="FF008080"/>
      <rgbColor rgb="FFB7C6D9"/>
      <rgbColor rgb="FF808080"/>
      <rgbColor rgb="FF9999FF"/>
      <rgbColor rgb="FF993366"/>
      <rgbColor rgb="FFF2F2F2"/>
      <rgbColor rgb="FFCCFFFF"/>
      <rgbColor rgb="FF660066"/>
      <rgbColor rgb="FFFF8080"/>
      <rgbColor rgb="FF1F4E78"/>
      <rgbColor rgb="FFCCCCFF"/>
      <rgbColor rgb="FF000080"/>
      <rgbColor rgb="FFFF00FF"/>
      <rgbColor rgb="FFFFFF00"/>
      <rgbColor rgb="FF00FFFF"/>
      <rgbColor rgb="FF800080"/>
      <rgbColor rgb="FF7F1D1D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203864"/>
      <rgbColor rgb="FF2E7D32"/>
      <rgbColor rgb="FF003300"/>
      <rgbColor rgb="FF333300"/>
      <rgbColor rgb="FF833C0C"/>
      <rgbColor rgb="FF993366"/>
      <rgbColor rgb="FF2E5395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7"/>
  <sheetViews>
    <sheetView showGridLines="0" tabSelected="1" topLeftCell="B1" zoomScaleNormal="100" workbookViewId="0">
      <pane ySplit="3" topLeftCell="A4" activePane="bottomLeft" state="frozen"/>
      <selection activeCell="C4" sqref="C4"/>
      <selection pane="bottomLeft" activeCell="N91" sqref="N91"/>
    </sheetView>
  </sheetViews>
  <sheetFormatPr defaultColWidth="8.81640625" defaultRowHeight="13" x14ac:dyDescent="0.3"/>
  <cols>
    <col min="1" max="1" width="12" style="6" customWidth="1"/>
    <col min="2" max="3" width="40" style="7" customWidth="1"/>
    <col min="4" max="4" width="30" style="8" customWidth="1"/>
    <col min="5" max="5" width="15" style="9" customWidth="1"/>
    <col min="6" max="6" width="22" style="10" customWidth="1"/>
    <col min="7" max="8" width="10" style="11" customWidth="1"/>
    <col min="9" max="9" width="11" style="9" customWidth="1"/>
    <col min="10" max="10" width="11" style="12" customWidth="1"/>
    <col min="11" max="11" width="11" style="11" customWidth="1"/>
    <col min="12" max="12" width="11" style="13" customWidth="1"/>
    <col min="13" max="13" width="11" style="9" customWidth="1"/>
    <col min="14" max="15" width="11" style="11" customWidth="1"/>
    <col min="16" max="17" width="11" style="9" customWidth="1"/>
    <col min="18" max="19" width="11" style="11" customWidth="1"/>
    <col min="20" max="21" width="11" style="9" customWidth="1"/>
    <col min="22" max="23" width="11" style="11" customWidth="1"/>
    <col min="24" max="25" width="11" style="9" customWidth="1"/>
    <col min="26" max="27" width="11" style="11" customWidth="1"/>
    <col min="28" max="29" width="11" style="9" customWidth="1"/>
    <col min="30" max="30" width="11" style="14" customWidth="1"/>
    <col min="31" max="31" width="34" style="9" customWidth="1"/>
    <col min="32" max="16384" width="8.81640625" style="9"/>
  </cols>
  <sheetData>
    <row r="1" spans="1:32" ht="19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15"/>
      <c r="F1" s="15"/>
      <c r="G1" s="5"/>
      <c r="H1" s="5"/>
      <c r="I1" s="5"/>
      <c r="J1" s="5"/>
      <c r="K1" s="5">
        <v>2026</v>
      </c>
      <c r="L1" s="5"/>
      <c r="M1" s="5"/>
      <c r="N1" s="5"/>
      <c r="O1" s="5">
        <v>2027</v>
      </c>
      <c r="P1" s="5"/>
      <c r="Q1" s="5"/>
      <c r="R1" s="5"/>
      <c r="S1" s="5">
        <v>2028</v>
      </c>
      <c r="T1" s="5"/>
      <c r="U1" s="5"/>
      <c r="V1" s="5"/>
      <c r="W1" s="5">
        <v>2029</v>
      </c>
      <c r="X1" s="5"/>
      <c r="Y1" s="5"/>
      <c r="Z1" s="5"/>
      <c r="AA1" s="5">
        <v>2030</v>
      </c>
      <c r="AB1" s="5"/>
      <c r="AC1" s="5"/>
      <c r="AD1" s="5"/>
      <c r="AE1" s="5" t="s">
        <v>4</v>
      </c>
      <c r="AF1" s="15"/>
    </row>
    <row r="2" spans="1:32" ht="19.5" customHeight="1" x14ac:dyDescent="0.3">
      <c r="A2" s="5"/>
      <c r="B2" s="5"/>
      <c r="C2" s="5"/>
      <c r="D2" s="5"/>
      <c r="E2" s="15"/>
      <c r="F2" s="15"/>
      <c r="G2" s="16"/>
      <c r="H2" s="5" t="s">
        <v>5</v>
      </c>
      <c r="I2" s="5"/>
      <c r="J2" s="5"/>
      <c r="K2" s="5" t="s">
        <v>6</v>
      </c>
      <c r="L2" s="5"/>
      <c r="M2" s="5"/>
      <c r="N2" s="5"/>
      <c r="O2" s="5" t="s">
        <v>6</v>
      </c>
      <c r="P2" s="5"/>
      <c r="Q2" s="5"/>
      <c r="R2" s="5"/>
      <c r="S2" s="5" t="s">
        <v>6</v>
      </c>
      <c r="T2" s="5"/>
      <c r="U2" s="5"/>
      <c r="V2" s="5"/>
      <c r="W2" s="5" t="s">
        <v>6</v>
      </c>
      <c r="X2" s="5"/>
      <c r="Y2" s="5"/>
      <c r="Z2" s="5"/>
      <c r="AA2" s="5" t="s">
        <v>6</v>
      </c>
      <c r="AB2" s="5"/>
      <c r="AC2" s="5"/>
      <c r="AD2" s="5"/>
      <c r="AE2" s="5"/>
      <c r="AF2" s="15"/>
    </row>
    <row r="3" spans="1:32" ht="31.5" customHeight="1" x14ac:dyDescent="0.3">
      <c r="A3" s="5"/>
      <c r="B3" s="5"/>
      <c r="C3" s="5"/>
      <c r="D3" s="5"/>
      <c r="E3" s="15" t="s">
        <v>7</v>
      </c>
      <c r="F3" s="15" t="s">
        <v>8</v>
      </c>
      <c r="G3" s="15" t="s">
        <v>9</v>
      </c>
      <c r="H3" s="16" t="s">
        <v>10</v>
      </c>
      <c r="I3" s="16" t="s">
        <v>11</v>
      </c>
      <c r="J3" s="15" t="s">
        <v>12</v>
      </c>
      <c r="K3" s="16" t="s">
        <v>10</v>
      </c>
      <c r="L3" s="16" t="s">
        <v>11</v>
      </c>
      <c r="M3" s="15" t="s">
        <v>12</v>
      </c>
      <c r="N3" s="15" t="s">
        <v>13</v>
      </c>
      <c r="O3" s="16" t="s">
        <v>10</v>
      </c>
      <c r="P3" s="16" t="s">
        <v>11</v>
      </c>
      <c r="Q3" s="15" t="s">
        <v>12</v>
      </c>
      <c r="R3" s="15" t="s">
        <v>13</v>
      </c>
      <c r="S3" s="16" t="s">
        <v>10</v>
      </c>
      <c r="T3" s="16" t="s">
        <v>11</v>
      </c>
      <c r="U3" s="15" t="s">
        <v>12</v>
      </c>
      <c r="V3" s="15" t="s">
        <v>13</v>
      </c>
      <c r="W3" s="16" t="s">
        <v>10</v>
      </c>
      <c r="X3" s="16" t="s">
        <v>11</v>
      </c>
      <c r="Y3" s="15" t="s">
        <v>12</v>
      </c>
      <c r="Z3" s="15" t="s">
        <v>13</v>
      </c>
      <c r="AA3" s="16" t="s">
        <v>10</v>
      </c>
      <c r="AB3" s="16" t="s">
        <v>11</v>
      </c>
      <c r="AC3" s="15" t="s">
        <v>12</v>
      </c>
      <c r="AD3" s="15" t="s">
        <v>13</v>
      </c>
      <c r="AE3" s="5"/>
      <c r="AF3" s="15"/>
    </row>
    <row r="4" spans="1:32" s="17" customFormat="1" ht="19.5" customHeight="1" x14ac:dyDescent="0.35">
      <c r="A4" s="4" t="s">
        <v>14</v>
      </c>
      <c r="B4" s="3" t="s">
        <v>15</v>
      </c>
      <c r="C4" s="3" t="s">
        <v>16</v>
      </c>
      <c r="D4" s="3" t="s">
        <v>17</v>
      </c>
      <c r="E4" s="20" t="s">
        <v>18</v>
      </c>
      <c r="F4" s="21" t="s">
        <v>19</v>
      </c>
      <c r="G4" s="22">
        <v>2025</v>
      </c>
      <c r="H4" s="23">
        <f>'Spectrum Inputs'!B19</f>
        <v>1006960</v>
      </c>
      <c r="I4" s="23">
        <f>'Spectrum Inputs'!B5</f>
        <v>22382444</v>
      </c>
      <c r="J4" s="24">
        <f t="shared" ref="J4:J17" si="0">IFERROR(H4/I4*100,"")</f>
        <v>4.4988831425200928</v>
      </c>
      <c r="K4" s="23">
        <f>'Spectrum Inputs'!C19</f>
        <v>1000821</v>
      </c>
      <c r="L4" s="23">
        <f>'Spectrum Inputs'!C5</f>
        <v>22950681</v>
      </c>
      <c r="M4" s="24">
        <f t="shared" ref="M4:M13" si="1">IFERROR(K4/L4*100,"")</f>
        <v>4.3607464196814032</v>
      </c>
      <c r="N4" s="25">
        <f t="shared" ref="N4:N37" si="2">IFERROR((M4-J4)/J4,"")</f>
        <v>-3.0704670128709099E-2</v>
      </c>
      <c r="O4" s="23">
        <f>'Spectrum Inputs'!D19</f>
        <v>994527</v>
      </c>
      <c r="P4" s="23">
        <f>'Spectrum Inputs'!D5</f>
        <v>23528994</v>
      </c>
      <c r="Q4" s="24">
        <f t="shared" ref="Q4:Q13" si="3">IFERROR(O4/P4*100,"")</f>
        <v>4.226814797096722</v>
      </c>
      <c r="R4" s="25">
        <f t="shared" ref="R4:R37" si="4">IFERROR((Q4-J4)/J4,"")</f>
        <v>-6.047464155091814E-2</v>
      </c>
      <c r="S4" s="23">
        <f>'Spectrum Inputs'!E19</f>
        <v>988232</v>
      </c>
      <c r="T4" s="23">
        <f>'Spectrum Inputs'!E5</f>
        <v>24112115</v>
      </c>
      <c r="U4" s="24">
        <f t="shared" ref="U4:U13" si="5">IFERROR(S4/T4*100,"")</f>
        <v>4.0984874201205495</v>
      </c>
      <c r="V4" s="25">
        <f t="shared" ref="V4:V37" si="6">IFERROR((U4-J4)/J4,"")</f>
        <v>-8.8998915889879682E-2</v>
      </c>
      <c r="W4" s="23">
        <f>'Spectrum Inputs'!F19</f>
        <v>982367</v>
      </c>
      <c r="X4" s="23">
        <f>'Spectrum Inputs'!F5</f>
        <v>24711970</v>
      </c>
      <c r="Y4" s="24">
        <f t="shared" ref="Y4:Y13" si="7">IFERROR(W4/X4*100,"")</f>
        <v>3.9752678560228101</v>
      </c>
      <c r="Z4" s="25">
        <f t="shared" ref="Z4:Z37" si="8">IFERROR((Y4-J4)/J4,"")</f>
        <v>-0.11638783891683271</v>
      </c>
      <c r="AA4" s="23">
        <f>'Spectrum Inputs'!G19</f>
        <v>976493</v>
      </c>
      <c r="AB4" s="23">
        <f>'Spectrum Inputs'!G5</f>
        <v>25310548</v>
      </c>
      <c r="AC4" s="24">
        <f t="shared" ref="AC4:AC13" si="9">IFERROR(AA4/AB4*100,"")</f>
        <v>3.8580476408491826</v>
      </c>
      <c r="AD4" s="25">
        <f t="shared" ref="AD4:AD37" si="10">IFERROR((AC4-J4)/J4,"")</f>
        <v>-0.14244324232701452</v>
      </c>
      <c r="AE4" s="3" t="s">
        <v>20</v>
      </c>
      <c r="AF4" s="26"/>
    </row>
    <row r="5" spans="1:32" s="17" customFormat="1" ht="19.5" customHeight="1" x14ac:dyDescent="0.35">
      <c r="A5" s="4"/>
      <c r="B5" s="4"/>
      <c r="C5" s="4"/>
      <c r="D5" s="4"/>
      <c r="E5" s="20"/>
      <c r="F5" s="21" t="s">
        <v>21</v>
      </c>
      <c r="G5" s="22">
        <v>2025</v>
      </c>
      <c r="H5" s="23">
        <f>'Spectrum Inputs'!B20</f>
        <v>7076</v>
      </c>
      <c r="I5" s="23">
        <f>'Spectrum Inputs'!B6</f>
        <v>3195757</v>
      </c>
      <c r="J5" s="24">
        <f t="shared" si="0"/>
        <v>0.22141858720797608</v>
      </c>
      <c r="K5" s="23">
        <f>'Spectrum Inputs'!C20</f>
        <v>6349</v>
      </c>
      <c r="L5" s="23">
        <f>'Spectrum Inputs'!C6</f>
        <v>3243142</v>
      </c>
      <c r="M5" s="24">
        <f t="shared" si="1"/>
        <v>0.19576694452478491</v>
      </c>
      <c r="N5" s="25">
        <f t="shared" si="2"/>
        <v>-0.11585135198743213</v>
      </c>
      <c r="O5" s="23">
        <f>'Spectrum Inputs'!D20</f>
        <v>5588</v>
      </c>
      <c r="P5" s="23">
        <f>'Spectrum Inputs'!D6</f>
        <v>3291453</v>
      </c>
      <c r="Q5" s="24">
        <f t="shared" si="3"/>
        <v>0.16977304552123332</v>
      </c>
      <c r="R5" s="25">
        <f t="shared" si="4"/>
        <v>-0.2332484473773318</v>
      </c>
      <c r="S5" s="23">
        <f>'Spectrum Inputs'!E20</f>
        <v>5215</v>
      </c>
      <c r="T5" s="23">
        <f>'Spectrum Inputs'!E6</f>
        <v>3338532</v>
      </c>
      <c r="U5" s="24">
        <f t="shared" si="5"/>
        <v>0.15620638052892707</v>
      </c>
      <c r="V5" s="25">
        <f t="shared" si="6"/>
        <v>-0.29452001975694969</v>
      </c>
      <c r="W5" s="23">
        <f>'Spectrum Inputs'!F20</f>
        <v>4932</v>
      </c>
      <c r="X5" s="23">
        <f>'Spectrum Inputs'!F6</f>
        <v>3385254</v>
      </c>
      <c r="Y5" s="24">
        <f t="shared" si="7"/>
        <v>0.14569069263340356</v>
      </c>
      <c r="Z5" s="25">
        <f t="shared" si="8"/>
        <v>-0.34201236458726986</v>
      </c>
      <c r="AA5" s="23">
        <f>'Spectrum Inputs'!G20</f>
        <v>4684</v>
      </c>
      <c r="AB5" s="23">
        <f>'Spectrum Inputs'!G6</f>
        <v>3426448</v>
      </c>
      <c r="AC5" s="24">
        <f t="shared" si="9"/>
        <v>0.13670133035726795</v>
      </c>
      <c r="AD5" s="25">
        <f t="shared" si="10"/>
        <v>-0.38261131515184915</v>
      </c>
      <c r="AE5" s="3"/>
      <c r="AF5" s="26"/>
    </row>
    <row r="6" spans="1:32" s="17" customFormat="1" ht="19.5" customHeight="1" x14ac:dyDescent="0.35">
      <c r="A6" s="4"/>
      <c r="B6" s="4"/>
      <c r="C6" s="4"/>
      <c r="D6" s="4"/>
      <c r="E6" s="20"/>
      <c r="F6" s="21" t="s">
        <v>22</v>
      </c>
      <c r="G6" s="22">
        <v>2025</v>
      </c>
      <c r="H6" s="23">
        <f>'Spectrum Inputs'!B21</f>
        <v>35041</v>
      </c>
      <c r="I6" s="23">
        <f>'Spectrum Inputs'!B7</f>
        <v>5744654</v>
      </c>
      <c r="J6" s="24">
        <f t="shared" si="0"/>
        <v>0.60997581403510115</v>
      </c>
      <c r="K6" s="23">
        <f>'Spectrum Inputs'!C21</f>
        <v>30558</v>
      </c>
      <c r="L6" s="23">
        <f>'Spectrum Inputs'!C7</f>
        <v>5801465</v>
      </c>
      <c r="M6" s="24">
        <f t="shared" si="1"/>
        <v>0.5267290244791617</v>
      </c>
      <c r="N6" s="25">
        <f t="shared" si="2"/>
        <v>-0.13647555794916977</v>
      </c>
      <c r="O6" s="23">
        <f>'Spectrum Inputs'!D21</f>
        <v>26527</v>
      </c>
      <c r="P6" s="23">
        <f>'Spectrum Inputs'!D7</f>
        <v>5864445</v>
      </c>
      <c r="Q6" s="24">
        <f t="shared" si="3"/>
        <v>0.45233606931261189</v>
      </c>
      <c r="R6" s="25">
        <f t="shared" si="4"/>
        <v>-0.25843605778346135</v>
      </c>
      <c r="S6" s="23">
        <f>'Spectrum Inputs'!E21</f>
        <v>22780</v>
      </c>
      <c r="T6" s="23">
        <f>'Spectrum Inputs'!E7</f>
        <v>5929584</v>
      </c>
      <c r="U6" s="24">
        <f t="shared" si="5"/>
        <v>0.38417534855733559</v>
      </c>
      <c r="V6" s="25">
        <f t="shared" si="6"/>
        <v>-0.37017937479201729</v>
      </c>
      <c r="W6" s="23">
        <f>'Spectrum Inputs'!F21</f>
        <v>19560</v>
      </c>
      <c r="X6" s="23">
        <f>'Spectrum Inputs'!F7</f>
        <v>6007105</v>
      </c>
      <c r="Y6" s="24">
        <f t="shared" si="7"/>
        <v>0.32561441825971077</v>
      </c>
      <c r="Z6" s="25">
        <f t="shared" si="8"/>
        <v>-0.46618470639727161</v>
      </c>
      <c r="AA6" s="23">
        <f>'Spectrum Inputs'!G21</f>
        <v>17038</v>
      </c>
      <c r="AB6" s="23">
        <f>'Spectrum Inputs'!G7</f>
        <v>6095185</v>
      </c>
      <c r="AC6" s="24">
        <f t="shared" si="9"/>
        <v>0.27953212248684822</v>
      </c>
      <c r="AD6" s="25">
        <f t="shared" si="10"/>
        <v>-0.54173244896762007</v>
      </c>
      <c r="AE6" s="3"/>
      <c r="AF6" s="26"/>
    </row>
    <row r="7" spans="1:32" s="17" customFormat="1" ht="19.5" customHeight="1" x14ac:dyDescent="0.35">
      <c r="A7" s="4"/>
      <c r="B7" s="4"/>
      <c r="C7" s="4"/>
      <c r="D7" s="4"/>
      <c r="E7" s="20"/>
      <c r="F7" s="21" t="s">
        <v>23</v>
      </c>
      <c r="G7" s="22">
        <v>2025</v>
      </c>
      <c r="H7" s="23">
        <f>'Spectrum Inputs'!B22</f>
        <v>964843</v>
      </c>
      <c r="I7" s="23">
        <f>'Spectrum Inputs'!B8</f>
        <v>13442033</v>
      </c>
      <c r="J7" s="24">
        <f t="shared" si="0"/>
        <v>7.1778056191351416</v>
      </c>
      <c r="K7" s="23">
        <f>'Spectrum Inputs'!C22</f>
        <v>963914</v>
      </c>
      <c r="L7" s="23">
        <f>'Spectrum Inputs'!C8</f>
        <v>13906074</v>
      </c>
      <c r="M7" s="24">
        <f t="shared" si="1"/>
        <v>6.93160413212241</v>
      </c>
      <c r="N7" s="25">
        <f t="shared" si="2"/>
        <v>-3.4300383721229351E-2</v>
      </c>
      <c r="O7" s="23">
        <f>'Spectrum Inputs'!D22</f>
        <v>962412</v>
      </c>
      <c r="P7" s="23">
        <f>'Spectrum Inputs'!D8</f>
        <v>14373096</v>
      </c>
      <c r="Q7" s="24">
        <f t="shared" si="3"/>
        <v>6.6959268900729532</v>
      </c>
      <c r="R7" s="25">
        <f t="shared" si="4"/>
        <v>-6.7134547051198951E-2</v>
      </c>
      <c r="S7" s="23">
        <f>'Spectrum Inputs'!E22</f>
        <v>960237</v>
      </c>
      <c r="T7" s="23">
        <f>'Spectrum Inputs'!E8</f>
        <v>14843999</v>
      </c>
      <c r="U7" s="24">
        <f t="shared" si="5"/>
        <v>6.4688565392654631</v>
      </c>
      <c r="V7" s="25">
        <f t="shared" si="6"/>
        <v>-9.8769612537250653E-2</v>
      </c>
      <c r="W7" s="23">
        <f>'Spectrum Inputs'!F22</f>
        <v>957875</v>
      </c>
      <c r="X7" s="23">
        <f>'Spectrum Inputs'!F8</f>
        <v>15319611</v>
      </c>
      <c r="Y7" s="24">
        <f t="shared" si="7"/>
        <v>6.252606544643986</v>
      </c>
      <c r="Z7" s="25">
        <f t="shared" si="8"/>
        <v>-0.12889720390653786</v>
      </c>
      <c r="AA7" s="23">
        <f>'Spectrum Inputs'!G22</f>
        <v>954771</v>
      </c>
      <c r="AB7" s="23">
        <f>'Spectrum Inputs'!G8</f>
        <v>15788915</v>
      </c>
      <c r="AC7" s="24">
        <f t="shared" si="9"/>
        <v>6.047096966447663</v>
      </c>
      <c r="AD7" s="25">
        <f t="shared" si="10"/>
        <v>-0.15752845823424769</v>
      </c>
      <c r="AE7" s="3"/>
      <c r="AF7" s="26"/>
    </row>
    <row r="8" spans="1:32" s="17" customFormat="1" ht="19.5" customHeight="1" x14ac:dyDescent="0.35">
      <c r="A8" s="4"/>
      <c r="B8" s="4"/>
      <c r="C8" s="4"/>
      <c r="D8" s="4"/>
      <c r="E8" s="20"/>
      <c r="F8" s="21" t="s">
        <v>24</v>
      </c>
      <c r="G8" s="22">
        <v>2025</v>
      </c>
      <c r="H8" s="23">
        <f>'Spectrum Inputs'!B23</f>
        <v>646519</v>
      </c>
      <c r="I8" s="23">
        <f>'Spectrum Inputs'!B9</f>
        <v>11419581</v>
      </c>
      <c r="J8" s="24">
        <f t="shared" si="0"/>
        <v>5.6614949357599027</v>
      </c>
      <c r="K8" s="23">
        <f>'Spectrum Inputs'!C23</f>
        <v>644553</v>
      </c>
      <c r="L8" s="23">
        <f>'Spectrum Inputs'!C9</f>
        <v>11706783</v>
      </c>
      <c r="M8" s="24">
        <f t="shared" si="1"/>
        <v>5.5058080430806653</v>
      </c>
      <c r="N8" s="25">
        <f t="shared" si="2"/>
        <v>-2.7499254957531929E-2</v>
      </c>
      <c r="O8" s="23">
        <f>'Spectrum Inputs'!D23</f>
        <v>642448</v>
      </c>
      <c r="P8" s="23">
        <f>'Spectrum Inputs'!D9</f>
        <v>11999216</v>
      </c>
      <c r="Q8" s="24">
        <f t="shared" si="3"/>
        <v>5.3540831334313843</v>
      </c>
      <c r="R8" s="25">
        <f t="shared" si="4"/>
        <v>-5.4298697749741373E-2</v>
      </c>
      <c r="S8" s="23">
        <f>'Spectrum Inputs'!E23</f>
        <v>640331</v>
      </c>
      <c r="T8" s="23">
        <f>'Spectrum Inputs'!E9</f>
        <v>12294348</v>
      </c>
      <c r="U8" s="24">
        <f t="shared" si="5"/>
        <v>5.2083363835154168</v>
      </c>
      <c r="V8" s="25">
        <f t="shared" si="6"/>
        <v>-8.0042207471066398E-2</v>
      </c>
      <c r="W8" s="23">
        <f>'Spectrum Inputs'!F23</f>
        <v>638449</v>
      </c>
      <c r="X8" s="23">
        <f>'Spectrum Inputs'!F9</f>
        <v>12597774</v>
      </c>
      <c r="Y8" s="24">
        <f t="shared" si="7"/>
        <v>5.0679508935467483</v>
      </c>
      <c r="Z8" s="25">
        <f t="shared" si="8"/>
        <v>-0.10483874823664169</v>
      </c>
      <c r="AA8" s="23">
        <f>'Spectrum Inputs'!G23</f>
        <v>636518</v>
      </c>
      <c r="AB8" s="23">
        <f>'Spectrum Inputs'!G9</f>
        <v>12900866</v>
      </c>
      <c r="AC8" s="24">
        <f t="shared" si="9"/>
        <v>4.9339168393811699</v>
      </c>
      <c r="AD8" s="25">
        <f t="shared" si="10"/>
        <v>-0.12851342350994704</v>
      </c>
      <c r="AE8" s="3"/>
      <c r="AF8" s="26"/>
    </row>
    <row r="9" spans="1:32" s="17" customFormat="1" ht="19.5" customHeight="1" x14ac:dyDescent="0.35">
      <c r="A9" s="4"/>
      <c r="B9" s="4"/>
      <c r="C9" s="4"/>
      <c r="D9" s="4"/>
      <c r="E9" s="20"/>
      <c r="F9" s="21" t="s">
        <v>25</v>
      </c>
      <c r="G9" s="22">
        <v>2025</v>
      </c>
      <c r="H9" s="23">
        <f>'Spectrum Inputs'!B24</f>
        <v>360439</v>
      </c>
      <c r="I9" s="23">
        <f>'Spectrum Inputs'!B10</f>
        <v>10962864</v>
      </c>
      <c r="J9" s="24">
        <f t="shared" si="0"/>
        <v>3.287817854896312</v>
      </c>
      <c r="K9" s="23">
        <f>'Spectrum Inputs'!C24</f>
        <v>356269</v>
      </c>
      <c r="L9" s="23">
        <f>'Spectrum Inputs'!C10</f>
        <v>11243897</v>
      </c>
      <c r="M9" s="24">
        <f t="shared" si="1"/>
        <v>3.168554461144566</v>
      </c>
      <c r="N9" s="25">
        <f t="shared" si="2"/>
        <v>-3.6274331187214508E-2</v>
      </c>
      <c r="O9" s="23">
        <f>'Spectrum Inputs'!D24</f>
        <v>352082</v>
      </c>
      <c r="P9" s="23">
        <f>'Spectrum Inputs'!D10</f>
        <v>11529779</v>
      </c>
      <c r="Q9" s="24">
        <f t="shared" si="3"/>
        <v>3.0536751831930169</v>
      </c>
      <c r="R9" s="25">
        <f t="shared" si="4"/>
        <v>-7.1215219953442099E-2</v>
      </c>
      <c r="S9" s="23">
        <f>'Spectrum Inputs'!E24</f>
        <v>347899</v>
      </c>
      <c r="T9" s="23">
        <f>'Spectrum Inputs'!E10</f>
        <v>11817768</v>
      </c>
      <c r="U9" s="24">
        <f t="shared" si="5"/>
        <v>2.9438638497557239</v>
      </c>
      <c r="V9" s="25">
        <f t="shared" si="6"/>
        <v>-0.1046146776739356</v>
      </c>
      <c r="W9" s="23">
        <f>'Spectrum Inputs'!F24</f>
        <v>343919</v>
      </c>
      <c r="X9" s="23">
        <f>'Spectrum Inputs'!F10</f>
        <v>12114196</v>
      </c>
      <c r="Y9" s="24">
        <f t="shared" si="7"/>
        <v>2.8389750339188833</v>
      </c>
      <c r="Z9" s="25">
        <f t="shared" si="8"/>
        <v>-0.1365169363956702</v>
      </c>
      <c r="AA9" s="23">
        <f>'Spectrum Inputs'!G24</f>
        <v>339977</v>
      </c>
      <c r="AB9" s="23">
        <f>'Spectrum Inputs'!G10</f>
        <v>12409685</v>
      </c>
      <c r="AC9" s="24">
        <f t="shared" si="9"/>
        <v>2.7396102318471423</v>
      </c>
      <c r="AD9" s="25">
        <f t="shared" si="10"/>
        <v>-0.16673904919421351</v>
      </c>
      <c r="AE9" s="3"/>
      <c r="AF9" s="26"/>
    </row>
    <row r="10" spans="1:32" s="17" customFormat="1" ht="19.5" customHeight="1" x14ac:dyDescent="0.35">
      <c r="A10" s="4"/>
      <c r="B10" s="4"/>
      <c r="C10" s="4"/>
      <c r="D10" s="4"/>
      <c r="E10" s="20"/>
      <c r="F10" s="21" t="s">
        <v>26</v>
      </c>
      <c r="G10" s="22">
        <v>2025</v>
      </c>
      <c r="H10" s="23">
        <f>'Spectrum Inputs'!B25</f>
        <v>20912</v>
      </c>
      <c r="I10" s="23">
        <f>'Spectrum Inputs'!B11</f>
        <v>1330397</v>
      </c>
      <c r="J10" s="24">
        <f t="shared" si="0"/>
        <v>1.5718616322796881</v>
      </c>
      <c r="K10" s="23">
        <f>'Spectrum Inputs'!C25</f>
        <v>19681</v>
      </c>
      <c r="L10" s="23">
        <f>'Spectrum Inputs'!C11</f>
        <v>1353435</v>
      </c>
      <c r="M10" s="24">
        <f t="shared" si="1"/>
        <v>1.4541518432728575</v>
      </c>
      <c r="N10" s="25">
        <f t="shared" si="2"/>
        <v>-7.4885592083645938E-2</v>
      </c>
      <c r="O10" s="23">
        <f>'Spectrum Inputs'!D25</f>
        <v>18480</v>
      </c>
      <c r="P10" s="23">
        <f>'Spectrum Inputs'!D11</f>
        <v>1371236</v>
      </c>
      <c r="Q10" s="24">
        <f t="shared" si="3"/>
        <v>1.3476892380305068</v>
      </c>
      <c r="R10" s="25">
        <f t="shared" si="4"/>
        <v>-0.14261585730294954</v>
      </c>
      <c r="S10" s="23">
        <f>'Spectrum Inputs'!E25</f>
        <v>17321</v>
      </c>
      <c r="T10" s="23">
        <f>'Spectrum Inputs'!E11</f>
        <v>1386218</v>
      </c>
      <c r="U10" s="24">
        <f t="shared" si="5"/>
        <v>1.2495148670699701</v>
      </c>
      <c r="V10" s="25">
        <f t="shared" si="6"/>
        <v>-0.20507324473733418</v>
      </c>
      <c r="W10" s="23">
        <f>'Spectrum Inputs'!F25</f>
        <v>16052</v>
      </c>
      <c r="X10" s="23">
        <f>'Spectrum Inputs'!F11</f>
        <v>1396856</v>
      </c>
      <c r="Y10" s="24">
        <f t="shared" si="7"/>
        <v>1.1491520958495365</v>
      </c>
      <c r="Z10" s="25">
        <f t="shared" si="8"/>
        <v>-0.26892286684107897</v>
      </c>
      <c r="AA10" s="23">
        <f>'Spectrum Inputs'!G25</f>
        <v>14586</v>
      </c>
      <c r="AB10" s="23">
        <f>'Spectrum Inputs'!G11</f>
        <v>1404326</v>
      </c>
      <c r="AC10" s="24">
        <f t="shared" si="9"/>
        <v>1.038647721398023</v>
      </c>
      <c r="AD10" s="25">
        <f t="shared" si="10"/>
        <v>-0.3392244583948138</v>
      </c>
      <c r="AE10" s="3"/>
      <c r="AF10" s="26"/>
    </row>
    <row r="11" spans="1:32" s="17" customFormat="1" ht="19.5" customHeight="1" x14ac:dyDescent="0.35">
      <c r="A11" s="4"/>
      <c r="B11" s="4"/>
      <c r="C11" s="4"/>
      <c r="D11" s="4"/>
      <c r="E11" s="20"/>
      <c r="F11" s="21" t="s">
        <v>27</v>
      </c>
      <c r="G11" s="22">
        <v>2025</v>
      </c>
      <c r="H11" s="23">
        <f>'Spectrum Inputs'!B26</f>
        <v>34238</v>
      </c>
      <c r="I11" s="23">
        <f>'Spectrum Inputs'!B12</f>
        <v>1126696</v>
      </c>
      <c r="J11" s="24">
        <f t="shared" si="0"/>
        <v>3.0387966230465007</v>
      </c>
      <c r="K11" s="23">
        <f>'Spectrum Inputs'!C26</f>
        <v>32669</v>
      </c>
      <c r="L11" s="23">
        <f>'Spectrum Inputs'!C12</f>
        <v>1170408</v>
      </c>
      <c r="M11" s="24">
        <f t="shared" si="1"/>
        <v>2.7912488636441308</v>
      </c>
      <c r="N11" s="25">
        <f t="shared" si="2"/>
        <v>-8.1462430728317214E-2</v>
      </c>
      <c r="O11" s="23">
        <f>'Spectrum Inputs'!D26</f>
        <v>31337</v>
      </c>
      <c r="P11" s="23">
        <f>'Spectrum Inputs'!D12</f>
        <v>1213519</v>
      </c>
      <c r="Q11" s="24">
        <f t="shared" si="3"/>
        <v>2.5823246277973397</v>
      </c>
      <c r="R11" s="25">
        <f t="shared" si="4"/>
        <v>-0.15021472374532643</v>
      </c>
      <c r="S11" s="23">
        <f>'Spectrum Inputs'!E26</f>
        <v>30050</v>
      </c>
      <c r="T11" s="23">
        <f>'Spectrum Inputs'!E12</f>
        <v>1253971</v>
      </c>
      <c r="U11" s="24">
        <f t="shared" si="5"/>
        <v>2.396387157278757</v>
      </c>
      <c r="V11" s="25">
        <f t="shared" si="6"/>
        <v>-0.21140258643689869</v>
      </c>
      <c r="W11" s="23">
        <f>'Spectrum Inputs'!F26</f>
        <v>28891</v>
      </c>
      <c r="X11" s="23">
        <f>'Spectrum Inputs'!F12</f>
        <v>1289970</v>
      </c>
      <c r="Y11" s="24">
        <f t="shared" si="7"/>
        <v>2.2396644883214338</v>
      </c>
      <c r="Z11" s="25">
        <f t="shared" si="8"/>
        <v>-0.26297651138097838</v>
      </c>
      <c r="AA11" s="23">
        <f>'Spectrum Inputs'!G26</f>
        <v>27827</v>
      </c>
      <c r="AB11" s="23">
        <f>'Spectrum Inputs'!G12</f>
        <v>1318466</v>
      </c>
      <c r="AC11" s="24">
        <f t="shared" si="9"/>
        <v>2.1105587857403982</v>
      </c>
      <c r="AD11" s="25">
        <f t="shared" si="10"/>
        <v>-0.30546231039822314</v>
      </c>
      <c r="AE11" s="3"/>
      <c r="AF11" s="26"/>
    </row>
    <row r="12" spans="1:32" s="17" customFormat="1" ht="19.5" customHeight="1" x14ac:dyDescent="0.35">
      <c r="A12" s="4"/>
      <c r="B12" s="4"/>
      <c r="C12" s="4"/>
      <c r="D12" s="4"/>
      <c r="E12" s="20"/>
      <c r="F12" s="21" t="s">
        <v>28</v>
      </c>
      <c r="G12" s="22">
        <v>2025</v>
      </c>
      <c r="H12" s="23">
        <f>'Spectrum Inputs'!B27</f>
        <v>15860</v>
      </c>
      <c r="I12" s="23">
        <f>'Spectrum Inputs'!B13</f>
        <v>1310146</v>
      </c>
      <c r="J12" s="24">
        <f t="shared" si="0"/>
        <v>1.2105521064064615</v>
      </c>
      <c r="K12" s="23">
        <f>'Spectrum Inputs'!C27</f>
        <v>15059</v>
      </c>
      <c r="L12" s="23">
        <f>'Spectrum Inputs'!C13</f>
        <v>1334948</v>
      </c>
      <c r="M12" s="24">
        <f t="shared" si="1"/>
        <v>1.1280589206470963</v>
      </c>
      <c r="N12" s="25">
        <f t="shared" si="2"/>
        <v>-6.8145092906613636E-2</v>
      </c>
      <c r="O12" s="23">
        <f>'Spectrum Inputs'!D27</f>
        <v>14224</v>
      </c>
      <c r="P12" s="23">
        <f>'Spectrum Inputs'!D13</f>
        <v>1354681</v>
      </c>
      <c r="Q12" s="24">
        <f t="shared" si="3"/>
        <v>1.0499888903734533</v>
      </c>
      <c r="R12" s="25">
        <f t="shared" si="4"/>
        <v>-0.1326363526057891</v>
      </c>
      <c r="S12" s="23">
        <f>'Spectrum Inputs'!E27</f>
        <v>13344</v>
      </c>
      <c r="T12" s="23">
        <f>'Spectrum Inputs'!E13</f>
        <v>1372027</v>
      </c>
      <c r="U12" s="24">
        <f t="shared" si="5"/>
        <v>0.97257561257905278</v>
      </c>
      <c r="V12" s="25">
        <f t="shared" si="6"/>
        <v>-0.19658508920681225</v>
      </c>
      <c r="W12" s="23">
        <f>'Spectrum Inputs'!F27</f>
        <v>12283</v>
      </c>
      <c r="X12" s="23">
        <f>'Spectrum Inputs'!F13</f>
        <v>1385244</v>
      </c>
      <c r="Y12" s="24">
        <f t="shared" si="7"/>
        <v>0.88670299239700723</v>
      </c>
      <c r="Z12" s="25">
        <f t="shared" si="8"/>
        <v>-0.26752182933356272</v>
      </c>
      <c r="AA12" s="23">
        <f>'Spectrum Inputs'!G27</f>
        <v>10952</v>
      </c>
      <c r="AB12" s="23">
        <f>'Spectrum Inputs'!G13</f>
        <v>1395124</v>
      </c>
      <c r="AC12" s="24">
        <f t="shared" si="9"/>
        <v>0.78501982619466082</v>
      </c>
      <c r="AD12" s="25">
        <f t="shared" si="10"/>
        <v>-0.35151917704310837</v>
      </c>
      <c r="AE12" s="3"/>
      <c r="AF12" s="26"/>
    </row>
    <row r="13" spans="1:32" s="17" customFormat="1" ht="19.5" customHeight="1" x14ac:dyDescent="0.35">
      <c r="A13" s="4"/>
      <c r="B13" s="4"/>
      <c r="C13" s="4"/>
      <c r="D13" s="4"/>
      <c r="E13" s="20"/>
      <c r="F13" s="21" t="s">
        <v>29</v>
      </c>
      <c r="G13" s="22">
        <v>2025</v>
      </c>
      <c r="H13" s="23">
        <f>'Spectrum Inputs'!B28</f>
        <v>17999</v>
      </c>
      <c r="I13" s="23">
        <f>'Spectrum Inputs'!B14</f>
        <v>1103171</v>
      </c>
      <c r="J13" s="24">
        <f t="shared" si="0"/>
        <v>1.6315693577876866</v>
      </c>
      <c r="K13" s="23">
        <f>'Spectrum Inputs'!C28</f>
        <v>17773</v>
      </c>
      <c r="L13" s="23">
        <f>'Spectrum Inputs'!C14</f>
        <v>1145142</v>
      </c>
      <c r="M13" s="24">
        <f t="shared" si="1"/>
        <v>1.5520345948362735</v>
      </c>
      <c r="N13" s="25">
        <f t="shared" si="2"/>
        <v>-4.8747399288779039E-2</v>
      </c>
      <c r="O13" s="23">
        <f>'Spectrum Inputs'!D28</f>
        <v>17526</v>
      </c>
      <c r="P13" s="23">
        <f>'Spectrum Inputs'!D14</f>
        <v>1187140</v>
      </c>
      <c r="Q13" s="24">
        <f t="shared" si="3"/>
        <v>1.4763212426504035</v>
      </c>
      <c r="R13" s="25">
        <f t="shared" si="4"/>
        <v>-9.5152629826163515E-2</v>
      </c>
      <c r="S13" s="23">
        <f>'Spectrum Inputs'!E28</f>
        <v>17118</v>
      </c>
      <c r="T13" s="23">
        <f>'Spectrum Inputs'!E14</f>
        <v>1226922</v>
      </c>
      <c r="U13" s="24">
        <f t="shared" si="5"/>
        <v>1.3951987167888422</v>
      </c>
      <c r="V13" s="25">
        <f t="shared" si="6"/>
        <v>-0.144873179844067</v>
      </c>
      <c r="W13" s="23">
        <f>'Spectrum Inputs'!F28</f>
        <v>16688</v>
      </c>
      <c r="X13" s="23">
        <f>'Spectrum Inputs'!F14</f>
        <v>1263077</v>
      </c>
      <c r="Y13" s="24">
        <f t="shared" si="7"/>
        <v>1.3212179463326463</v>
      </c>
      <c r="Z13" s="25">
        <f t="shared" si="8"/>
        <v>-0.19021649920899397</v>
      </c>
      <c r="AA13" s="23">
        <f>'Spectrum Inputs'!G28</f>
        <v>16241</v>
      </c>
      <c r="AB13" s="23">
        <f>'Spectrum Inputs'!G14</f>
        <v>1292620</v>
      </c>
      <c r="AC13" s="24">
        <f t="shared" si="9"/>
        <v>1.2564404078538163</v>
      </c>
      <c r="AD13" s="25">
        <f t="shared" si="10"/>
        <v>-0.22991909485387949</v>
      </c>
      <c r="AE13" s="3"/>
      <c r="AF13" s="26"/>
    </row>
    <row r="14" spans="1:32" s="17" customFormat="1" ht="19.5" customHeight="1" x14ac:dyDescent="0.35">
      <c r="A14" s="4"/>
      <c r="B14" s="4"/>
      <c r="C14" s="4"/>
      <c r="D14" s="4"/>
      <c r="E14" s="20" t="s">
        <v>30</v>
      </c>
      <c r="F14" s="21" t="s">
        <v>31</v>
      </c>
      <c r="G14" s="22">
        <v>2025</v>
      </c>
      <c r="H14" s="23">
        <f>'Spectrum Inputs'!B92*'Spectrum Inputs'!B89/100</f>
        <v>19462.995999999999</v>
      </c>
      <c r="I14" s="23">
        <f>'Spectrum Inputs'!B92</f>
        <v>39004</v>
      </c>
      <c r="J14" s="24">
        <f t="shared" si="0"/>
        <v>49.9</v>
      </c>
      <c r="K14" s="23">
        <f>IFERROR(M14/100*L14,"")</f>
        <v>18841.469597503972</v>
      </c>
      <c r="L14" s="23">
        <f>I14</f>
        <v>39004</v>
      </c>
      <c r="M14" s="24">
        <f>IFERROR(J14*('Spectrum Inputs'!C104/'Spectrum Inputs'!B104),"")</f>
        <v>48.306505992985258</v>
      </c>
      <c r="N14" s="25">
        <f t="shared" si="2"/>
        <v>-3.1933747635565946E-2</v>
      </c>
      <c r="O14" s="23">
        <f>IFERROR(Q14/100*P14,"")</f>
        <v>18245.511928738968</v>
      </c>
      <c r="P14" s="23">
        <f>I14</f>
        <v>39004</v>
      </c>
      <c r="Q14" s="24">
        <f>IFERROR(J14*('Spectrum Inputs'!D104/'Spectrum Inputs'!B104),"")</f>
        <v>46.778566118190355</v>
      </c>
      <c r="R14" s="25">
        <f t="shared" si="4"/>
        <v>-6.255378520660608E-2</v>
      </c>
      <c r="S14" s="23">
        <f>IFERROR(U14/100*T14,"")</f>
        <v>17672.2586781994</v>
      </c>
      <c r="T14" s="23">
        <f>I14</f>
        <v>39004</v>
      </c>
      <c r="U14" s="24">
        <f>IFERROR(J14*('Spectrum Inputs'!E104/'Spectrum Inputs'!B104),"")</f>
        <v>45.308836730077431</v>
      </c>
      <c r="V14" s="25">
        <f t="shared" si="6"/>
        <v>-9.2007279958368091E-2</v>
      </c>
      <c r="W14" s="23">
        <f>IFERROR(Y14/100*X14,"")</f>
        <v>17127.225594876436</v>
      </c>
      <c r="X14" s="23">
        <f>I14</f>
        <v>39004</v>
      </c>
      <c r="Y14" s="24">
        <f>IFERROR(J14*('Spectrum Inputs'!F104/'Spectrum Inputs'!B104),"")</f>
        <v>43.911459324367847</v>
      </c>
      <c r="Z14" s="25">
        <f t="shared" si="8"/>
        <v>-0.12001083518300905</v>
      </c>
      <c r="AA14" s="23">
        <f>IFERROR(AC14/100*AB14,"")</f>
        <v>16609.988167527357</v>
      </c>
      <c r="AB14" s="23">
        <f>I14</f>
        <v>39004</v>
      </c>
      <c r="AC14" s="24">
        <f>IFERROR(J14*('Spectrum Inputs'!G104/'Spectrum Inputs'!B104),"")</f>
        <v>42.585345522324268</v>
      </c>
      <c r="AD14" s="25">
        <f t="shared" si="10"/>
        <v>-0.14658626207766998</v>
      </c>
      <c r="AE14" s="19" t="s">
        <v>32</v>
      </c>
      <c r="AF14" s="27"/>
    </row>
    <row r="15" spans="1:32" s="28" customFormat="1" ht="19.5" customHeight="1" x14ac:dyDescent="0.3">
      <c r="A15" s="4"/>
      <c r="B15" s="4"/>
      <c r="C15" s="4"/>
      <c r="D15" s="4"/>
      <c r="E15" s="20" t="s">
        <v>33</v>
      </c>
      <c r="F15" s="21" t="s">
        <v>34</v>
      </c>
      <c r="G15" s="22">
        <v>2025</v>
      </c>
      <c r="H15" s="23">
        <f>'Spectrum Inputs'!C92*'Spectrum Inputs'!C89/100</f>
        <v>4530.0480000000007</v>
      </c>
      <c r="I15" s="23">
        <f>'Spectrum Inputs'!C92</f>
        <v>35391</v>
      </c>
      <c r="J15" s="24">
        <f t="shared" si="0"/>
        <v>12.800000000000002</v>
      </c>
      <c r="K15" s="23">
        <f>IFERROR(M15/100*L15,"")</f>
        <v>4356.4814484918124</v>
      </c>
      <c r="L15" s="23">
        <f>I15</f>
        <v>35391</v>
      </c>
      <c r="M15" s="24">
        <f>IFERROR(J15*('Spectrum Inputs'!C105/'Spectrum Inputs'!B105),"")</f>
        <v>12.30957432254475</v>
      </c>
      <c r="N15" s="25">
        <f t="shared" si="2"/>
        <v>-3.8314506051191626E-2</v>
      </c>
      <c r="O15" s="23">
        <f>IFERROR(Q15/100*P15,"")</f>
        <v>4190.6054604045357</v>
      </c>
      <c r="P15" s="23">
        <f>I15</f>
        <v>35391</v>
      </c>
      <c r="Q15" s="24">
        <f>IFERROR(J15*('Spectrum Inputs'!D105/'Spectrum Inputs'!B105),"")</f>
        <v>11.840878925163278</v>
      </c>
      <c r="R15" s="25">
        <f t="shared" si="4"/>
        <v>-7.4931333971619121E-2</v>
      </c>
      <c r="S15" s="23">
        <f>IFERROR(U15/100*T15,"")</f>
        <v>4030.281449725494</v>
      </c>
      <c r="T15" s="23">
        <f>I15</f>
        <v>35391</v>
      </c>
      <c r="U15" s="24">
        <f>IFERROR(J15*('Spectrum Inputs'!E105/'Spectrum Inputs'!B105),"")</f>
        <v>11.387871068140189</v>
      </c>
      <c r="V15" s="25">
        <f t="shared" si="6"/>
        <v>-0.11032257280154789</v>
      </c>
      <c r="W15" s="23">
        <f>IFERROR(Y15/100*X15,"")</f>
        <v>3877.3205511185415</v>
      </c>
      <c r="X15" s="23">
        <f>I15</f>
        <v>35391</v>
      </c>
      <c r="Y15" s="24">
        <f>IFERROR(J15*('Spectrum Inputs'!F105/'Spectrum Inputs'!B105),"")</f>
        <v>10.955668252150382</v>
      </c>
      <c r="Z15" s="25">
        <f t="shared" si="8"/>
        <v>-0.1440884178007516</v>
      </c>
      <c r="AA15" s="23">
        <f>IFERROR(AC15/100*AB15,"")</f>
        <v>3731.5487139213124</v>
      </c>
      <c r="AB15" s="23">
        <f>I15</f>
        <v>35391</v>
      </c>
      <c r="AC15" s="24">
        <f>IFERROR(J15*('Spectrum Inputs'!G105/'Spectrum Inputs'!B105),"")</f>
        <v>10.543778683623838</v>
      </c>
      <c r="AD15" s="25">
        <f t="shared" si="10"/>
        <v>-0.17626729034188782</v>
      </c>
      <c r="AE15" s="19" t="s">
        <v>35</v>
      </c>
      <c r="AF15" s="27"/>
    </row>
    <row r="16" spans="1:32" s="17" customFormat="1" ht="19.5" customHeight="1" x14ac:dyDescent="0.35">
      <c r="A16" s="4"/>
      <c r="B16" s="4"/>
      <c r="C16" s="4"/>
      <c r="D16" s="4"/>
      <c r="E16" s="20" t="s">
        <v>36</v>
      </c>
      <c r="F16" s="21" t="s">
        <v>37</v>
      </c>
      <c r="G16" s="22">
        <v>2025</v>
      </c>
      <c r="H16" s="23">
        <f>'Spectrum Inputs'!D92*'Spectrum Inputs'!D89/100</f>
        <v>672.88800000000003</v>
      </c>
      <c r="I16" s="23">
        <f>'Spectrum Inputs'!D92</f>
        <v>4876</v>
      </c>
      <c r="J16" s="24">
        <f t="shared" si="0"/>
        <v>13.8</v>
      </c>
      <c r="K16" s="23">
        <f>IFERROR(M16/100*L16,"")</f>
        <v>647.10662865222571</v>
      </c>
      <c r="L16" s="23">
        <f>I16</f>
        <v>4876</v>
      </c>
      <c r="M16" s="24">
        <f>IFERROR(J16*('Spectrum Inputs'!C105/'Spectrum Inputs'!B105),"")</f>
        <v>13.271259816493556</v>
      </c>
      <c r="N16" s="25">
        <f t="shared" si="2"/>
        <v>-3.8314506051191639E-2</v>
      </c>
      <c r="O16" s="23">
        <f>IFERROR(Q16/100*P16,"")</f>
        <v>622.46760454650519</v>
      </c>
      <c r="P16" s="23">
        <f>I16</f>
        <v>4876</v>
      </c>
      <c r="Q16" s="24">
        <f>IFERROR(J16*('Spectrum Inputs'!D105/'Spectrum Inputs'!B105),"")</f>
        <v>12.765947591191656</v>
      </c>
      <c r="R16" s="25">
        <f t="shared" si="4"/>
        <v>-7.4931333971619163E-2</v>
      </c>
      <c r="S16" s="23">
        <f>IFERROR(U16/100*T16,"")</f>
        <v>598.65326463271208</v>
      </c>
      <c r="T16" s="23">
        <f>I16</f>
        <v>4876</v>
      </c>
      <c r="U16" s="24">
        <f>IFERROR(J16*('Spectrum Inputs'!E105/'Spectrum Inputs'!B105),"")</f>
        <v>12.277548495338639</v>
      </c>
      <c r="V16" s="25">
        <f t="shared" si="6"/>
        <v>-0.11032257280154795</v>
      </c>
      <c r="W16" s="23">
        <f>IFERROR(Y16/100*X16,"")</f>
        <v>575.93263272288789</v>
      </c>
      <c r="X16" s="23">
        <f>I16</f>
        <v>4876</v>
      </c>
      <c r="Y16" s="24">
        <f>IFERROR(J16*('Spectrum Inputs'!F105/'Spectrum Inputs'!B105),"")</f>
        <v>11.811579834349629</v>
      </c>
      <c r="Z16" s="25">
        <f t="shared" si="8"/>
        <v>-0.14408841780075154</v>
      </c>
      <c r="AA16" s="23">
        <f>IFERROR(AC16/100*AB16,"")</f>
        <v>554.27985553642782</v>
      </c>
      <c r="AB16" s="23">
        <f>I16</f>
        <v>4876</v>
      </c>
      <c r="AC16" s="24">
        <f>IFERROR(J16*('Spectrum Inputs'!G105/'Spectrum Inputs'!B105),"")</f>
        <v>11.36751139328195</v>
      </c>
      <c r="AD16" s="25">
        <f t="shared" si="10"/>
        <v>-0.17626729034188776</v>
      </c>
      <c r="AE16" s="3" t="s">
        <v>38</v>
      </c>
      <c r="AF16" s="27"/>
    </row>
    <row r="17" spans="1:32" s="17" customFormat="1" ht="19.5" customHeight="1" x14ac:dyDescent="0.35">
      <c r="A17" s="4"/>
      <c r="B17" s="4"/>
      <c r="C17" s="4"/>
      <c r="D17" s="4"/>
      <c r="E17" s="20" t="s">
        <v>39</v>
      </c>
      <c r="F17" s="21" t="s">
        <v>40</v>
      </c>
      <c r="G17" s="22">
        <v>2025</v>
      </c>
      <c r="H17" s="23">
        <f>'Spectrum Inputs'!E92*'Spectrum Inputs'!E89/100</f>
        <v>2259.63</v>
      </c>
      <c r="I17" s="23">
        <f>'Spectrum Inputs'!E92</f>
        <v>8369</v>
      </c>
      <c r="J17" s="24">
        <f t="shared" si="0"/>
        <v>27</v>
      </c>
      <c r="K17" s="23">
        <f>IFERROR(M17/100*L17,"")</f>
        <v>2173.0533926915455</v>
      </c>
      <c r="L17" s="23">
        <f>I17</f>
        <v>8369</v>
      </c>
      <c r="M17" s="24">
        <f>IFERROR(J17*('Spectrum Inputs'!C105/'Spectrum Inputs'!B105),"")</f>
        <v>25.965508336617823</v>
      </c>
      <c r="N17" s="25">
        <f t="shared" si="2"/>
        <v>-3.8314506051191737E-2</v>
      </c>
      <c r="O17" s="23">
        <f>IFERROR(Q17/100*P17,"")</f>
        <v>2090.3129098177101</v>
      </c>
      <c r="P17" s="23">
        <f>I17</f>
        <v>8369</v>
      </c>
      <c r="Q17" s="24">
        <f>IFERROR(J17*('Spectrum Inputs'!D105/'Spectrum Inputs'!B105),"")</f>
        <v>24.976853982766283</v>
      </c>
      <c r="R17" s="25">
        <f t="shared" si="4"/>
        <v>-7.4931333971619163E-2</v>
      </c>
      <c r="S17" s="23">
        <f>IFERROR(U17/100*T17,"")</f>
        <v>2010.3418048204385</v>
      </c>
      <c r="T17" s="23">
        <f>I17</f>
        <v>8369</v>
      </c>
      <c r="U17" s="24">
        <f>IFERROR(J17*('Spectrum Inputs'!E105/'Spectrum Inputs'!B105),"")</f>
        <v>24.021290534358208</v>
      </c>
      <c r="V17" s="25">
        <f t="shared" si="6"/>
        <v>-0.11032257280154785</v>
      </c>
      <c r="W17" s="23">
        <f>IFERROR(Y17/100*X17,"")</f>
        <v>1934.0434884848878</v>
      </c>
      <c r="X17" s="23">
        <f>I17</f>
        <v>8369</v>
      </c>
      <c r="Y17" s="24">
        <f>IFERROR(J17*('Spectrum Inputs'!F105/'Spectrum Inputs'!B105),"")</f>
        <v>23.109612719379708</v>
      </c>
      <c r="Z17" s="25">
        <f t="shared" si="8"/>
        <v>-0.14408841780075154</v>
      </c>
      <c r="AA17" s="23">
        <f>IFERROR(AC17/100*AB17,"")</f>
        <v>1861.3311427247602</v>
      </c>
      <c r="AB17" s="23">
        <f>I17</f>
        <v>8369</v>
      </c>
      <c r="AC17" s="24">
        <f>IFERROR(J17*('Spectrum Inputs'!G105/'Spectrum Inputs'!B105),"")</f>
        <v>22.240783160769031</v>
      </c>
      <c r="AD17" s="25">
        <f t="shared" si="10"/>
        <v>-0.17626729034188776</v>
      </c>
      <c r="AE17" s="3"/>
      <c r="AF17" s="27"/>
    </row>
    <row r="18" spans="1:32" s="17" customFormat="1" ht="19.5" customHeight="1" x14ac:dyDescent="0.35">
      <c r="A18" s="2" t="s">
        <v>14</v>
      </c>
      <c r="B18" s="1" t="s">
        <v>41</v>
      </c>
      <c r="C18" s="1" t="s">
        <v>42</v>
      </c>
      <c r="D18" s="1" t="s">
        <v>43</v>
      </c>
      <c r="E18" s="31" t="s">
        <v>44</v>
      </c>
      <c r="F18" s="32" t="s">
        <v>19</v>
      </c>
      <c r="G18" s="33">
        <v>2025</v>
      </c>
      <c r="H18" s="34">
        <f>'Spectrum Inputs'!B47</f>
        <v>14225</v>
      </c>
      <c r="I18" s="34">
        <f>'Spectrum Inputs'!B75</f>
        <v>21375484</v>
      </c>
      <c r="J18" s="35">
        <f t="shared" ref="J18:J26" si="11">IFERROR(H18/I18*1000,"")</f>
        <v>0.66548200733138951</v>
      </c>
      <c r="K18" s="34">
        <f>'Spectrum Inputs'!C47</f>
        <v>12993</v>
      </c>
      <c r="L18" s="34">
        <f>'Spectrum Inputs'!C75</f>
        <v>21949860</v>
      </c>
      <c r="M18" s="35">
        <f t="shared" ref="M18:M26" si="12">IFERROR(K18/L18*1000,"")</f>
        <v>0.5919399941503044</v>
      </c>
      <c r="N18" s="36">
        <f t="shared" si="2"/>
        <v>-0.11050939374903859</v>
      </c>
      <c r="O18" s="34">
        <f>'Spectrum Inputs'!D47</f>
        <v>12536</v>
      </c>
      <c r="P18" s="34">
        <f>'Spectrum Inputs'!D75</f>
        <v>22534467</v>
      </c>
      <c r="Q18" s="35">
        <f t="shared" ref="Q18:Q26" si="13">IFERROR(O18/P18*1000,"")</f>
        <v>0.55630337296196086</v>
      </c>
      <c r="R18" s="36">
        <f t="shared" si="4"/>
        <v>-0.16405948345206131</v>
      </c>
      <c r="S18" s="34">
        <f>'Spectrum Inputs'!E47</f>
        <v>12388</v>
      </c>
      <c r="T18" s="34">
        <f>'Spectrum Inputs'!E75</f>
        <v>23123883</v>
      </c>
      <c r="U18" s="35">
        <f t="shared" ref="U18:U26" si="14">IFERROR(S18/T18*1000,"")</f>
        <v>0.53572317417451043</v>
      </c>
      <c r="V18" s="36">
        <f t="shared" si="6"/>
        <v>-0.19498473546597811</v>
      </c>
      <c r="W18" s="34">
        <f>'Spectrum Inputs'!F47</f>
        <v>12354</v>
      </c>
      <c r="X18" s="34">
        <f>'Spectrum Inputs'!F75</f>
        <v>23729603</v>
      </c>
      <c r="Y18" s="35">
        <f t="shared" ref="Y18:Y26" si="15">IFERROR(W18/X18*1000,"")</f>
        <v>0.5206155366358215</v>
      </c>
      <c r="Z18" s="36">
        <f t="shared" si="8"/>
        <v>-0.21768653261789689</v>
      </c>
      <c r="AA18" s="34">
        <f>'Spectrum Inputs'!G47</f>
        <v>12496</v>
      </c>
      <c r="AB18" s="34">
        <f>'Spectrum Inputs'!G75</f>
        <v>24334055</v>
      </c>
      <c r="AC18" s="35">
        <f t="shared" ref="AC18:AC26" si="16">IFERROR(AA18/AB18*1000,"")</f>
        <v>0.51351901686751356</v>
      </c>
      <c r="AD18" s="36">
        <f t="shared" si="10"/>
        <v>-0.22835026159948915</v>
      </c>
      <c r="AE18" s="1" t="s">
        <v>45</v>
      </c>
      <c r="AF18" s="27"/>
    </row>
    <row r="19" spans="1:32" s="17" customFormat="1" ht="19.5" customHeight="1" x14ac:dyDescent="0.35">
      <c r="A19" s="2"/>
      <c r="B19" s="2"/>
      <c r="C19" s="2"/>
      <c r="D19" s="2"/>
      <c r="E19" s="31"/>
      <c r="F19" s="32" t="s">
        <v>46</v>
      </c>
      <c r="G19" s="33">
        <v>2025</v>
      </c>
      <c r="H19" s="34">
        <f>'Spectrum Inputs'!B48+'Spectrum Inputs'!B49</f>
        <v>1734</v>
      </c>
      <c r="I19" s="34">
        <f>'Spectrum Inputs'!B76+'Spectrum Inputs'!B77</f>
        <v>8898294</v>
      </c>
      <c r="J19" s="35">
        <f t="shared" si="11"/>
        <v>0.19486881417943708</v>
      </c>
      <c r="K19" s="34">
        <f>'Spectrum Inputs'!C48+'Spectrum Inputs'!C49</f>
        <v>1428</v>
      </c>
      <c r="L19" s="34">
        <f>'Spectrum Inputs'!C76+'Spectrum Inputs'!C77</f>
        <v>9007700</v>
      </c>
      <c r="M19" s="35">
        <f t="shared" si="12"/>
        <v>0.15853103455932147</v>
      </c>
      <c r="N19" s="36">
        <f t="shared" si="2"/>
        <v>-0.18647303712052887</v>
      </c>
      <c r="O19" s="34">
        <f>'Spectrum Inputs'!D48+'Spectrum Inputs'!D49</f>
        <v>1338</v>
      </c>
      <c r="P19" s="34">
        <f>'Spectrum Inputs'!D76+'Spectrum Inputs'!D77</f>
        <v>9123783</v>
      </c>
      <c r="Q19" s="35">
        <f t="shared" si="13"/>
        <v>0.14664969563611938</v>
      </c>
      <c r="R19" s="36">
        <f t="shared" si="4"/>
        <v>-0.24744399839636255</v>
      </c>
      <c r="S19" s="34">
        <f>'Spectrum Inputs'!E48+'Spectrum Inputs'!E49</f>
        <v>1264</v>
      </c>
      <c r="T19" s="34">
        <f>'Spectrum Inputs'!E76+'Spectrum Inputs'!E77</f>
        <v>9240121</v>
      </c>
      <c r="U19" s="35">
        <f t="shared" si="14"/>
        <v>0.13679474543677514</v>
      </c>
      <c r="V19" s="36">
        <f t="shared" si="6"/>
        <v>-0.29801622690220086</v>
      </c>
      <c r="W19" s="34">
        <f>'Spectrum Inputs'!F48+'Spectrum Inputs'!F49</f>
        <v>1204</v>
      </c>
      <c r="X19" s="34">
        <f>'Spectrum Inputs'!F76+'Spectrum Inputs'!F77</f>
        <v>9367867</v>
      </c>
      <c r="Y19" s="35">
        <f t="shared" si="15"/>
        <v>0.12852445492661241</v>
      </c>
      <c r="Z19" s="36">
        <f t="shared" si="8"/>
        <v>-0.34045652472506016</v>
      </c>
      <c r="AA19" s="34">
        <f>'Spectrum Inputs'!G48+'Spectrum Inputs'!G49</f>
        <v>1149</v>
      </c>
      <c r="AB19" s="34">
        <f>'Spectrum Inputs'!G76+'Spectrum Inputs'!G77</f>
        <v>9499911</v>
      </c>
      <c r="AC19" s="35">
        <f t="shared" si="16"/>
        <v>0.12094850151754052</v>
      </c>
      <c r="AD19" s="36">
        <f t="shared" si="10"/>
        <v>-0.37933372239762292</v>
      </c>
      <c r="AE19" s="1"/>
      <c r="AF19" s="27"/>
    </row>
    <row r="20" spans="1:32" s="17" customFormat="1" ht="19.5" customHeight="1" x14ac:dyDescent="0.35">
      <c r="A20" s="2"/>
      <c r="B20" s="2"/>
      <c r="C20" s="2"/>
      <c r="D20" s="2"/>
      <c r="E20" s="31"/>
      <c r="F20" s="32" t="s">
        <v>23</v>
      </c>
      <c r="G20" s="33">
        <v>2025</v>
      </c>
      <c r="H20" s="34">
        <f>'Spectrum Inputs'!B50</f>
        <v>12491</v>
      </c>
      <c r="I20" s="34">
        <f>'Spectrum Inputs'!B78</f>
        <v>12477190</v>
      </c>
      <c r="J20" s="35">
        <f t="shared" si="11"/>
        <v>1.0011068197246336</v>
      </c>
      <c r="K20" s="34">
        <f>'Spectrum Inputs'!C50</f>
        <v>11565</v>
      </c>
      <c r="L20" s="34">
        <f>'Spectrum Inputs'!C78</f>
        <v>12942160</v>
      </c>
      <c r="M20" s="35">
        <f t="shared" si="12"/>
        <v>0.89359117797956444</v>
      </c>
      <c r="N20" s="36">
        <f t="shared" si="2"/>
        <v>-0.10739677287848522</v>
      </c>
      <c r="O20" s="34">
        <f>'Spectrum Inputs'!D50</f>
        <v>11198</v>
      </c>
      <c r="P20" s="34">
        <f>'Spectrum Inputs'!D78</f>
        <v>13410684</v>
      </c>
      <c r="Q20" s="35">
        <f t="shared" si="13"/>
        <v>0.83500588038611601</v>
      </c>
      <c r="R20" s="36">
        <f t="shared" si="4"/>
        <v>-0.16591729879954828</v>
      </c>
      <c r="S20" s="34">
        <f>'Spectrum Inputs'!E50</f>
        <v>11124</v>
      </c>
      <c r="T20" s="34">
        <f>'Spectrum Inputs'!E78</f>
        <v>13883762</v>
      </c>
      <c r="U20" s="35">
        <f t="shared" si="14"/>
        <v>0.80122376053406852</v>
      </c>
      <c r="V20" s="36">
        <f t="shared" si="6"/>
        <v>-0.19966206927403138</v>
      </c>
      <c r="W20" s="34">
        <f>'Spectrum Inputs'!F50</f>
        <v>11150</v>
      </c>
      <c r="X20" s="34">
        <f>'Spectrum Inputs'!F78</f>
        <v>14361736</v>
      </c>
      <c r="Y20" s="35">
        <f t="shared" si="15"/>
        <v>0.7763685392907933</v>
      </c>
      <c r="Z20" s="36">
        <f t="shared" si="8"/>
        <v>-0.22448981068339663</v>
      </c>
      <c r="AA20" s="34">
        <f>'Spectrum Inputs'!G50</f>
        <v>11347</v>
      </c>
      <c r="AB20" s="34">
        <f>'Spectrum Inputs'!G78</f>
        <v>14834144</v>
      </c>
      <c r="AC20" s="35">
        <f t="shared" si="16"/>
        <v>0.76492448772237887</v>
      </c>
      <c r="AD20" s="36">
        <f t="shared" si="10"/>
        <v>-0.23592120975383973</v>
      </c>
      <c r="AE20" s="1"/>
      <c r="AF20" s="27"/>
    </row>
    <row r="21" spans="1:32" s="28" customFormat="1" ht="19.5" customHeight="1" x14ac:dyDescent="0.3">
      <c r="A21" s="2"/>
      <c r="B21" s="2"/>
      <c r="C21" s="2"/>
      <c r="D21" s="2"/>
      <c r="E21" s="31"/>
      <c r="F21" s="32" t="s">
        <v>24</v>
      </c>
      <c r="G21" s="33">
        <v>2025</v>
      </c>
      <c r="H21" s="34">
        <f>'Spectrum Inputs'!B51</f>
        <v>8942</v>
      </c>
      <c r="I21" s="34">
        <f>'Spectrum Inputs'!B79</f>
        <v>10773062</v>
      </c>
      <c r="J21" s="35">
        <f t="shared" si="11"/>
        <v>0.83003328115998964</v>
      </c>
      <c r="K21" s="34">
        <f>'Spectrum Inputs'!C51</f>
        <v>8195</v>
      </c>
      <c r="L21" s="34">
        <f>'Spectrum Inputs'!C79</f>
        <v>11062230</v>
      </c>
      <c r="M21" s="35">
        <f t="shared" si="12"/>
        <v>0.74080904121501723</v>
      </c>
      <c r="N21" s="36">
        <f t="shared" si="2"/>
        <v>-0.10749477396891796</v>
      </c>
      <c r="O21" s="34">
        <f>'Spectrum Inputs'!D51</f>
        <v>7915</v>
      </c>
      <c r="P21" s="34">
        <f>'Spectrum Inputs'!D79</f>
        <v>11356768</v>
      </c>
      <c r="Q21" s="35">
        <f t="shared" si="13"/>
        <v>0.69694124243798938</v>
      </c>
      <c r="R21" s="36">
        <f t="shared" si="4"/>
        <v>-0.16034542438587671</v>
      </c>
      <c r="S21" s="34">
        <f>'Spectrum Inputs'!E51</f>
        <v>7835</v>
      </c>
      <c r="T21" s="34">
        <f>'Spectrum Inputs'!E79</f>
        <v>11654017</v>
      </c>
      <c r="U21" s="35">
        <f t="shared" si="14"/>
        <v>0.67230037505522777</v>
      </c>
      <c r="V21" s="36">
        <f t="shared" si="6"/>
        <v>-0.19003202604638539</v>
      </c>
      <c r="W21" s="34">
        <f>'Spectrum Inputs'!F51</f>
        <v>7826</v>
      </c>
      <c r="X21" s="34">
        <f>'Spectrum Inputs'!F79</f>
        <v>11959325</v>
      </c>
      <c r="Y21" s="35">
        <f t="shared" si="15"/>
        <v>0.65438475833711351</v>
      </c>
      <c r="Z21" s="36">
        <f t="shared" si="8"/>
        <v>-0.21161624095048753</v>
      </c>
      <c r="AA21" s="34">
        <f>'Spectrum Inputs'!G51</f>
        <v>7925</v>
      </c>
      <c r="AB21" s="34">
        <f>'Spectrum Inputs'!G79</f>
        <v>12264348</v>
      </c>
      <c r="AC21" s="35">
        <f t="shared" si="16"/>
        <v>0.6461819250399613</v>
      </c>
      <c r="AD21" s="36">
        <f t="shared" si="10"/>
        <v>-0.22149877636604168</v>
      </c>
      <c r="AE21" s="1"/>
      <c r="AF21" s="27"/>
    </row>
    <row r="22" spans="1:32" s="28" customFormat="1" ht="19.5" customHeight="1" x14ac:dyDescent="0.3">
      <c r="A22" s="2"/>
      <c r="B22" s="2"/>
      <c r="C22" s="2"/>
      <c r="D22" s="2"/>
      <c r="E22" s="31"/>
      <c r="F22" s="32" t="s">
        <v>25</v>
      </c>
      <c r="G22" s="33">
        <v>2025</v>
      </c>
      <c r="H22" s="34">
        <f>'Spectrum Inputs'!B52</f>
        <v>5285</v>
      </c>
      <c r="I22" s="34">
        <f>'Spectrum Inputs'!B80</f>
        <v>10602425</v>
      </c>
      <c r="J22" s="35">
        <f t="shared" si="11"/>
        <v>0.49847086869277546</v>
      </c>
      <c r="K22" s="34">
        <f>'Spectrum Inputs'!C52</f>
        <v>4801</v>
      </c>
      <c r="L22" s="34">
        <f>'Spectrum Inputs'!C80</f>
        <v>10887628</v>
      </c>
      <c r="M22" s="35">
        <f t="shared" si="12"/>
        <v>0.4409592245436747</v>
      </c>
      <c r="N22" s="36">
        <f t="shared" si="2"/>
        <v>-0.11537613883018537</v>
      </c>
      <c r="O22" s="34">
        <f>'Spectrum Inputs'!D52</f>
        <v>4621</v>
      </c>
      <c r="P22" s="34">
        <f>'Spectrum Inputs'!D80</f>
        <v>11177697</v>
      </c>
      <c r="Q22" s="35">
        <f t="shared" si="13"/>
        <v>0.41341253032713265</v>
      </c>
      <c r="R22" s="36">
        <f t="shared" si="4"/>
        <v>-0.17063853418095562</v>
      </c>
      <c r="S22" s="34">
        <f>'Spectrum Inputs'!E52</f>
        <v>4553</v>
      </c>
      <c r="T22" s="34">
        <f>'Spectrum Inputs'!E80</f>
        <v>11469869</v>
      </c>
      <c r="U22" s="35">
        <f t="shared" si="14"/>
        <v>0.39695309510509669</v>
      </c>
      <c r="V22" s="36">
        <f t="shared" si="6"/>
        <v>-0.20365838800952604</v>
      </c>
      <c r="W22" s="34">
        <f>'Spectrum Inputs'!F52</f>
        <v>4530</v>
      </c>
      <c r="X22" s="34">
        <f>'Spectrum Inputs'!F80</f>
        <v>11770277</v>
      </c>
      <c r="Y22" s="35">
        <f t="shared" si="15"/>
        <v>0.38486774780236688</v>
      </c>
      <c r="Z22" s="36">
        <f t="shared" si="8"/>
        <v>-0.22790322970794519</v>
      </c>
      <c r="AA22" s="34">
        <f>'Spectrum Inputs'!G52</f>
        <v>4570</v>
      </c>
      <c r="AB22" s="34">
        <f>'Spectrum Inputs'!G80</f>
        <v>12069708</v>
      </c>
      <c r="AC22" s="35">
        <f t="shared" si="16"/>
        <v>0.37863384930273375</v>
      </c>
      <c r="AD22" s="36">
        <f t="shared" si="10"/>
        <v>-0.24040927347331373</v>
      </c>
      <c r="AE22" s="1"/>
      <c r="AF22" s="27"/>
    </row>
    <row r="23" spans="1:32" s="28" customFormat="1" ht="19.5" customHeight="1" x14ac:dyDescent="0.3">
      <c r="A23" s="2"/>
      <c r="B23" s="2"/>
      <c r="C23" s="2"/>
      <c r="D23" s="2"/>
      <c r="E23" s="31"/>
      <c r="F23" s="32" t="s">
        <v>26</v>
      </c>
      <c r="G23" s="33">
        <v>2025</v>
      </c>
      <c r="H23" s="34">
        <f>'Spectrum Inputs'!B53</f>
        <v>1601</v>
      </c>
      <c r="I23" s="34">
        <f>'Spectrum Inputs'!B81</f>
        <v>1309485</v>
      </c>
      <c r="J23" s="35">
        <f t="shared" si="11"/>
        <v>1.2226180521349996</v>
      </c>
      <c r="K23" s="34">
        <f>'Spectrum Inputs'!C53</f>
        <v>1460</v>
      </c>
      <c r="L23" s="34">
        <f>'Spectrum Inputs'!C81</f>
        <v>1333754</v>
      </c>
      <c r="M23" s="35">
        <f t="shared" si="12"/>
        <v>1.0946546364621961</v>
      </c>
      <c r="N23" s="36">
        <f t="shared" si="2"/>
        <v>-0.10466344370537238</v>
      </c>
      <c r="O23" s="34">
        <f>'Spectrum Inputs'!D53</f>
        <v>1387</v>
      </c>
      <c r="P23" s="34">
        <f>'Spectrum Inputs'!D81</f>
        <v>1352756</v>
      </c>
      <c r="Q23" s="35">
        <f t="shared" si="13"/>
        <v>1.0253142473587253</v>
      </c>
      <c r="R23" s="36">
        <f t="shared" si="4"/>
        <v>-0.16137812167236698</v>
      </c>
      <c r="S23" s="34">
        <f>'Spectrum Inputs'!E53</f>
        <v>1349</v>
      </c>
      <c r="T23" s="34">
        <f>'Spectrum Inputs'!E81</f>
        <v>1368897</v>
      </c>
      <c r="U23" s="35">
        <f t="shared" si="14"/>
        <v>0.98546494002105356</v>
      </c>
      <c r="V23" s="36">
        <f t="shared" si="6"/>
        <v>-0.19397154466991298</v>
      </c>
      <c r="W23" s="34">
        <f>'Spectrum Inputs'!F53</f>
        <v>1322</v>
      </c>
      <c r="X23" s="34">
        <f>'Spectrum Inputs'!F81</f>
        <v>1380804</v>
      </c>
      <c r="Y23" s="35">
        <f t="shared" si="15"/>
        <v>0.95741321722706485</v>
      </c>
      <c r="Z23" s="36">
        <f t="shared" si="8"/>
        <v>-0.21691552357240287</v>
      </c>
      <c r="AA23" s="34">
        <f>'Spectrum Inputs'!G53</f>
        <v>1315</v>
      </c>
      <c r="AB23" s="34">
        <f>'Spectrum Inputs'!G81</f>
        <v>1389740</v>
      </c>
      <c r="AC23" s="35">
        <f t="shared" si="16"/>
        <v>0.94622015628822664</v>
      </c>
      <c r="AD23" s="36">
        <f t="shared" si="10"/>
        <v>-0.22607051757833324</v>
      </c>
      <c r="AE23" s="1"/>
      <c r="AF23" s="27"/>
    </row>
    <row r="24" spans="1:32" s="28" customFormat="1" ht="19.5" customHeight="1" x14ac:dyDescent="0.3">
      <c r="A24" s="2"/>
      <c r="B24" s="2"/>
      <c r="C24" s="2"/>
      <c r="D24" s="2"/>
      <c r="E24" s="31"/>
      <c r="F24" s="32" t="s">
        <v>27</v>
      </c>
      <c r="G24" s="33">
        <v>2025</v>
      </c>
      <c r="H24" s="34">
        <f>'Spectrum Inputs'!B54</f>
        <v>2085</v>
      </c>
      <c r="I24" s="34">
        <f>'Spectrum Inputs'!B82</f>
        <v>1092458</v>
      </c>
      <c r="J24" s="35">
        <f t="shared" si="11"/>
        <v>1.9085401910187851</v>
      </c>
      <c r="K24" s="34">
        <f>'Spectrum Inputs'!C54</f>
        <v>1940</v>
      </c>
      <c r="L24" s="34">
        <f>'Spectrum Inputs'!C82</f>
        <v>1137739</v>
      </c>
      <c r="M24" s="35">
        <f t="shared" si="12"/>
        <v>1.7051362395066003</v>
      </c>
      <c r="N24" s="36">
        <f t="shared" si="2"/>
        <v>-0.10657567101251722</v>
      </c>
      <c r="O24" s="34">
        <f>'Spectrum Inputs'!D54</f>
        <v>1885</v>
      </c>
      <c r="P24" s="34">
        <f>'Spectrum Inputs'!D82</f>
        <v>1182182</v>
      </c>
      <c r="Q24" s="35">
        <f t="shared" si="13"/>
        <v>1.5945091364950574</v>
      </c>
      <c r="R24" s="36">
        <f t="shared" si="4"/>
        <v>-0.16453992218843286</v>
      </c>
      <c r="S24" s="34">
        <f>'Spectrum Inputs'!E54</f>
        <v>1876</v>
      </c>
      <c r="T24" s="34">
        <f>'Spectrum Inputs'!E82</f>
        <v>1223921</v>
      </c>
      <c r="U24" s="35">
        <f t="shared" si="14"/>
        <v>1.5327786679042195</v>
      </c>
      <c r="V24" s="36">
        <f t="shared" si="6"/>
        <v>-0.19688425996100345</v>
      </c>
      <c r="W24" s="34">
        <f>'Spectrum Inputs'!F54</f>
        <v>1877</v>
      </c>
      <c r="X24" s="34">
        <f>'Spectrum Inputs'!F82</f>
        <v>1261079</v>
      </c>
      <c r="Y24" s="35">
        <f t="shared" si="15"/>
        <v>1.4884079427220658</v>
      </c>
      <c r="Z24" s="36">
        <f t="shared" si="8"/>
        <v>-0.22013277492073738</v>
      </c>
      <c r="AA24" s="34">
        <f>'Spectrum Inputs'!G54</f>
        <v>1897</v>
      </c>
      <c r="AB24" s="34">
        <f>'Spectrum Inputs'!G82</f>
        <v>1290639</v>
      </c>
      <c r="AC24" s="35">
        <f t="shared" si="16"/>
        <v>1.4698145647233658</v>
      </c>
      <c r="AD24" s="36">
        <f t="shared" si="10"/>
        <v>-0.22987497374169844</v>
      </c>
      <c r="AE24" s="1"/>
      <c r="AF24" s="27"/>
    </row>
    <row r="25" spans="1:32" s="28" customFormat="1" ht="19.5" customHeight="1" x14ac:dyDescent="0.3">
      <c r="A25" s="2"/>
      <c r="B25" s="2"/>
      <c r="C25" s="2"/>
      <c r="D25" s="2"/>
      <c r="E25" s="31"/>
      <c r="F25" s="32" t="s">
        <v>28</v>
      </c>
      <c r="G25" s="33">
        <v>2025</v>
      </c>
      <c r="H25" s="34">
        <f>'Spectrum Inputs'!B55</f>
        <v>118</v>
      </c>
      <c r="I25" s="34">
        <f>'Spectrum Inputs'!B83</f>
        <v>1294286</v>
      </c>
      <c r="J25" s="35">
        <f t="shared" si="11"/>
        <v>9.1169957799126317E-2</v>
      </c>
      <c r="K25" s="34">
        <f>'Spectrum Inputs'!C55</f>
        <v>108</v>
      </c>
      <c r="L25" s="34">
        <f>'Spectrum Inputs'!C83</f>
        <v>1319889</v>
      </c>
      <c r="M25" s="35">
        <f t="shared" si="12"/>
        <v>8.1825062562079096E-2</v>
      </c>
      <c r="N25" s="36">
        <f t="shared" si="2"/>
        <v>-0.10249972098963474</v>
      </c>
      <c r="O25" s="34">
        <f>'Spectrum Inputs'!D55</f>
        <v>103</v>
      </c>
      <c r="P25" s="34">
        <f>'Spectrum Inputs'!D83</f>
        <v>1340457</v>
      </c>
      <c r="Q25" s="35">
        <f t="shared" si="13"/>
        <v>7.683946594333127E-2</v>
      </c>
      <c r="R25" s="36">
        <f t="shared" si="4"/>
        <v>-0.15718436425482668</v>
      </c>
      <c r="S25" s="34">
        <f>'Spectrum Inputs'!E55</f>
        <v>100</v>
      </c>
      <c r="T25" s="34">
        <f>'Spectrum Inputs'!E83</f>
        <v>1358683</v>
      </c>
      <c r="U25" s="35">
        <f t="shared" si="14"/>
        <v>7.3600685369582156E-2</v>
      </c>
      <c r="V25" s="36">
        <f t="shared" si="6"/>
        <v>-0.19270901131987284</v>
      </c>
      <c r="W25" s="34">
        <f>'Spectrum Inputs'!F55</f>
        <v>97</v>
      </c>
      <c r="X25" s="34">
        <f>'Spectrum Inputs'!F83</f>
        <v>1372961</v>
      </c>
      <c r="Y25" s="35">
        <f t="shared" si="15"/>
        <v>7.0650222402530008E-2</v>
      </c>
      <c r="Z25" s="36">
        <f t="shared" si="8"/>
        <v>-0.22507123938575466</v>
      </c>
      <c r="AA25" s="34">
        <f>'Spectrum Inputs'!G55</f>
        <v>97</v>
      </c>
      <c r="AB25" s="34">
        <f>'Spectrum Inputs'!G83</f>
        <v>1384172</v>
      </c>
      <c r="AC25" s="35">
        <f t="shared" si="16"/>
        <v>7.007799608719148E-2</v>
      </c>
      <c r="AD25" s="36">
        <f t="shared" si="10"/>
        <v>-0.23134771827367195</v>
      </c>
      <c r="AE25" s="1"/>
      <c r="AF25" s="27"/>
    </row>
    <row r="26" spans="1:32" s="28" customFormat="1" ht="19.5" customHeight="1" x14ac:dyDescent="0.3">
      <c r="A26" s="2"/>
      <c r="B26" s="2"/>
      <c r="C26" s="2"/>
      <c r="D26" s="2"/>
      <c r="E26" s="31"/>
      <c r="F26" s="32" t="s">
        <v>29</v>
      </c>
      <c r="G26" s="33">
        <v>2025</v>
      </c>
      <c r="H26" s="34">
        <f>'Spectrum Inputs'!B56</f>
        <v>813</v>
      </c>
      <c r="I26" s="34">
        <f>'Spectrum Inputs'!B84</f>
        <v>1085172</v>
      </c>
      <c r="J26" s="35">
        <f t="shared" si="11"/>
        <v>0.74918999015824217</v>
      </c>
      <c r="K26" s="34">
        <f>'Spectrum Inputs'!C56</f>
        <v>751</v>
      </c>
      <c r="L26" s="34">
        <f>'Spectrum Inputs'!C84</f>
        <v>1127369</v>
      </c>
      <c r="M26" s="35">
        <f t="shared" si="12"/>
        <v>0.66615278582256554</v>
      </c>
      <c r="N26" s="36">
        <f t="shared" si="2"/>
        <v>-0.11083597675689408</v>
      </c>
      <c r="O26" s="34">
        <f>'Spectrum Inputs'!D56</f>
        <v>725</v>
      </c>
      <c r="P26" s="34">
        <f>'Spectrum Inputs'!D84</f>
        <v>1169614</v>
      </c>
      <c r="Q26" s="35">
        <f t="shared" si="13"/>
        <v>0.61986262134345171</v>
      </c>
      <c r="R26" s="36">
        <f t="shared" si="4"/>
        <v>-0.17262292677919286</v>
      </c>
      <c r="S26" s="34">
        <f>'Spectrum Inputs'!E56</f>
        <v>717</v>
      </c>
      <c r="T26" s="34">
        <f>'Spectrum Inputs'!E84</f>
        <v>1209804</v>
      </c>
      <c r="U26" s="35">
        <f t="shared" si="14"/>
        <v>0.59265798426852623</v>
      </c>
      <c r="V26" s="36">
        <f t="shared" si="6"/>
        <v>-0.20893499372122365</v>
      </c>
      <c r="W26" s="34">
        <f>'Spectrum Inputs'!F56</f>
        <v>714</v>
      </c>
      <c r="X26" s="34">
        <f>'Spectrum Inputs'!F84</f>
        <v>1246389</v>
      </c>
      <c r="Y26" s="35">
        <f t="shared" si="15"/>
        <v>0.5728548631286059</v>
      </c>
      <c r="Z26" s="36">
        <f t="shared" si="8"/>
        <v>-0.23536770291390463</v>
      </c>
      <c r="AA26" s="34">
        <f>'Spectrum Inputs'!G56</f>
        <v>718</v>
      </c>
      <c r="AB26" s="34">
        <f>'Spectrum Inputs'!G84</f>
        <v>1276379</v>
      </c>
      <c r="AC26" s="35">
        <f t="shared" si="16"/>
        <v>0.56252884135511483</v>
      </c>
      <c r="AD26" s="36">
        <f t="shared" si="10"/>
        <v>-0.24915061767403113</v>
      </c>
      <c r="AE26" s="1"/>
      <c r="AF26" s="27"/>
    </row>
    <row r="27" spans="1:32" s="28" customFormat="1" ht="19.5" customHeight="1" x14ac:dyDescent="0.3">
      <c r="A27" s="4" t="s">
        <v>14</v>
      </c>
      <c r="B27" s="3" t="s">
        <v>47</v>
      </c>
      <c r="C27" s="3" t="s">
        <v>48</v>
      </c>
      <c r="D27" s="3" t="s">
        <v>49</v>
      </c>
      <c r="E27" s="20" t="s">
        <v>50</v>
      </c>
      <c r="F27" s="21" t="s">
        <v>19</v>
      </c>
      <c r="G27" s="22">
        <v>2025</v>
      </c>
      <c r="H27" s="23">
        <f>'Spectrum Inputs'!B61</f>
        <v>12858</v>
      </c>
      <c r="I27" s="23">
        <f>'Spectrum Inputs'!B5</f>
        <v>22382444</v>
      </c>
      <c r="J27" s="37">
        <f t="shared" ref="J27:J36" si="17">IFERROR(H27/I27*100000,"")</f>
        <v>57.446809651349966</v>
      </c>
      <c r="K27" s="23">
        <f>'Spectrum Inputs'!C61</f>
        <v>12592</v>
      </c>
      <c r="L27" s="23">
        <f>'Spectrum Inputs'!C5</f>
        <v>22950681</v>
      </c>
      <c r="M27" s="37">
        <f t="shared" ref="M27:M36" si="18">IFERROR(K27/L27*100000,"")</f>
        <v>54.865474362176876</v>
      </c>
      <c r="N27" s="25">
        <f t="shared" si="2"/>
        <v>-4.4934354141499835E-2</v>
      </c>
      <c r="O27" s="23">
        <f>'Spectrum Inputs'!D61</f>
        <v>12105</v>
      </c>
      <c r="P27" s="23">
        <f>'Spectrum Inputs'!D5</f>
        <v>23528994</v>
      </c>
      <c r="Q27" s="37">
        <f t="shared" ref="Q27:Q36" si="19">IFERROR(O27/P27*100000,"")</f>
        <v>51.447163444386959</v>
      </c>
      <c r="R27" s="25">
        <f t="shared" si="4"/>
        <v>-0.10443828375109807</v>
      </c>
      <c r="S27" s="23">
        <f>'Spectrum Inputs'!E61</f>
        <v>11571</v>
      </c>
      <c r="T27" s="23">
        <f>'Spectrum Inputs'!E5</f>
        <v>24112115</v>
      </c>
      <c r="U27" s="37">
        <f t="shared" ref="U27:U36" si="20">IFERROR(S27/T27*100000,"")</f>
        <v>47.988324541418287</v>
      </c>
      <c r="V27" s="25">
        <f t="shared" si="6"/>
        <v>-0.16464770049609553</v>
      </c>
      <c r="W27" s="23">
        <f>'Spectrum Inputs'!F61</f>
        <v>11181</v>
      </c>
      <c r="X27" s="23">
        <f>'Spectrum Inputs'!F5</f>
        <v>24711970</v>
      </c>
      <c r="Y27" s="37">
        <f t="shared" ref="Y27:Y36" si="21">IFERROR(W27/X27*100000,"")</f>
        <v>45.245279919002819</v>
      </c>
      <c r="Z27" s="25">
        <f t="shared" si="8"/>
        <v>-0.21239699482702984</v>
      </c>
      <c r="AA27" s="23">
        <f>'Spectrum Inputs'!G61</f>
        <v>10812</v>
      </c>
      <c r="AB27" s="23">
        <f>'Spectrum Inputs'!G5</f>
        <v>25310548</v>
      </c>
      <c r="AC27" s="37">
        <f t="shared" ref="AC27:AC36" si="22">IFERROR(AA27/AB27*100000,"")</f>
        <v>42.717368268754988</v>
      </c>
      <c r="AD27" s="25">
        <f t="shared" si="10"/>
        <v>-0.25640138193903766</v>
      </c>
      <c r="AE27" s="3" t="s">
        <v>51</v>
      </c>
      <c r="AF27" s="27"/>
    </row>
    <row r="28" spans="1:32" s="28" customFormat="1" ht="19.5" customHeight="1" x14ac:dyDescent="0.3">
      <c r="A28" s="4"/>
      <c r="B28" s="4"/>
      <c r="C28" s="4"/>
      <c r="D28" s="4"/>
      <c r="E28" s="20"/>
      <c r="F28" s="21" t="s">
        <v>21</v>
      </c>
      <c r="G28" s="22">
        <v>2025</v>
      </c>
      <c r="H28" s="23">
        <f>'Spectrum Inputs'!B62</f>
        <v>585</v>
      </c>
      <c r="I28" s="23">
        <f>'Spectrum Inputs'!B6</f>
        <v>3195757</v>
      </c>
      <c r="J28" s="37">
        <f t="shared" si="17"/>
        <v>18.305521978047768</v>
      </c>
      <c r="K28" s="23">
        <f>'Spectrum Inputs'!C62</f>
        <v>564</v>
      </c>
      <c r="L28" s="23">
        <f>'Spectrum Inputs'!C6</f>
        <v>3243142</v>
      </c>
      <c r="M28" s="37">
        <f t="shared" si="18"/>
        <v>17.390542874780074</v>
      </c>
      <c r="N28" s="25">
        <f t="shared" si="2"/>
        <v>-4.9983775626007781E-2</v>
      </c>
      <c r="O28" s="23">
        <f>'Spectrum Inputs'!D62</f>
        <v>415</v>
      </c>
      <c r="P28" s="23">
        <f>'Spectrum Inputs'!D6</f>
        <v>3291453</v>
      </c>
      <c r="Q28" s="37">
        <f t="shared" si="19"/>
        <v>12.608413366376492</v>
      </c>
      <c r="R28" s="25">
        <f t="shared" si="4"/>
        <v>-0.31122349958134632</v>
      </c>
      <c r="S28" s="23">
        <f>'Spectrum Inputs'!E62</f>
        <v>325</v>
      </c>
      <c r="T28" s="23">
        <f>'Spectrum Inputs'!E6</f>
        <v>3338532</v>
      </c>
      <c r="U28" s="37">
        <f t="shared" si="20"/>
        <v>9.7348175785045648</v>
      </c>
      <c r="V28" s="25">
        <f t="shared" si="6"/>
        <v>-0.46820322358582883</v>
      </c>
      <c r="W28" s="23">
        <f>'Spectrum Inputs'!F62</f>
        <v>301</v>
      </c>
      <c r="X28" s="23">
        <f>'Spectrum Inputs'!F6</f>
        <v>3385254</v>
      </c>
      <c r="Y28" s="37">
        <f t="shared" si="21"/>
        <v>8.8915041530118568</v>
      </c>
      <c r="Z28" s="25">
        <f t="shared" si="8"/>
        <v>-0.51427202329031263</v>
      </c>
      <c r="AA28" s="23">
        <f>'Spectrum Inputs'!G62</f>
        <v>285</v>
      </c>
      <c r="AB28" s="23">
        <f>'Spectrum Inputs'!G6</f>
        <v>3426448</v>
      </c>
      <c r="AC28" s="37">
        <f t="shared" si="22"/>
        <v>8.3176513987663032</v>
      </c>
      <c r="AD28" s="25">
        <f t="shared" si="10"/>
        <v>-0.54562063792876569</v>
      </c>
      <c r="AE28" s="3"/>
      <c r="AF28" s="27"/>
    </row>
    <row r="29" spans="1:32" s="17" customFormat="1" ht="19.5" customHeight="1" x14ac:dyDescent="0.35">
      <c r="A29" s="4"/>
      <c r="B29" s="4"/>
      <c r="C29" s="4"/>
      <c r="D29" s="4"/>
      <c r="E29" s="20"/>
      <c r="F29" s="21" t="s">
        <v>22</v>
      </c>
      <c r="G29" s="22">
        <v>2025</v>
      </c>
      <c r="H29" s="23">
        <f>'Spectrum Inputs'!B63</f>
        <v>451</v>
      </c>
      <c r="I29" s="23">
        <f>'Spectrum Inputs'!B7</f>
        <v>5744654</v>
      </c>
      <c r="J29" s="37">
        <f t="shared" si="17"/>
        <v>7.8507774358560152</v>
      </c>
      <c r="K29" s="23">
        <f>'Spectrum Inputs'!C63</f>
        <v>384</v>
      </c>
      <c r="L29" s="23">
        <f>'Spectrum Inputs'!C7</f>
        <v>5801465</v>
      </c>
      <c r="M29" s="37">
        <f t="shared" si="18"/>
        <v>6.6190177825773313</v>
      </c>
      <c r="N29" s="25">
        <f t="shared" si="2"/>
        <v>-0.15689651927374731</v>
      </c>
      <c r="O29" s="23">
        <f>'Spectrum Inputs'!D63</f>
        <v>331</v>
      </c>
      <c r="P29" s="23">
        <f>'Spectrum Inputs'!D7</f>
        <v>5864445</v>
      </c>
      <c r="Q29" s="37">
        <f t="shared" si="19"/>
        <v>5.6441828681145445</v>
      </c>
      <c r="R29" s="25">
        <f t="shared" si="4"/>
        <v>-0.28106701352448582</v>
      </c>
      <c r="S29" s="23">
        <f>'Spectrum Inputs'!E63</f>
        <v>257</v>
      </c>
      <c r="T29" s="23">
        <f>'Spectrum Inputs'!E7</f>
        <v>5929584</v>
      </c>
      <c r="U29" s="37">
        <f t="shared" si="20"/>
        <v>4.3341994986494834</v>
      </c>
      <c r="V29" s="25">
        <f t="shared" si="6"/>
        <v>-0.44792735062716743</v>
      </c>
      <c r="W29" s="23">
        <f>'Spectrum Inputs'!F63</f>
        <v>199</v>
      </c>
      <c r="X29" s="23">
        <f>'Spectrum Inputs'!F7</f>
        <v>6007105</v>
      </c>
      <c r="Y29" s="37">
        <f t="shared" si="21"/>
        <v>3.3127438258528858</v>
      </c>
      <c r="Z29" s="25">
        <f t="shared" si="8"/>
        <v>-0.57803620687004253</v>
      </c>
      <c r="AA29" s="23">
        <f>'Spectrum Inputs'!G63</f>
        <v>162</v>
      </c>
      <c r="AB29" s="23">
        <f>'Spectrum Inputs'!G7</f>
        <v>6095185</v>
      </c>
      <c r="AC29" s="37">
        <f t="shared" si="22"/>
        <v>2.657835652240252</v>
      </c>
      <c r="AD29" s="25">
        <f t="shared" si="10"/>
        <v>-0.66145573811564151</v>
      </c>
      <c r="AE29" s="3"/>
      <c r="AF29" s="27"/>
    </row>
    <row r="30" spans="1:32" s="17" customFormat="1" ht="19.5" customHeight="1" x14ac:dyDescent="0.35">
      <c r="A30" s="4"/>
      <c r="B30" s="4"/>
      <c r="C30" s="4"/>
      <c r="D30" s="4"/>
      <c r="E30" s="20"/>
      <c r="F30" s="21" t="s">
        <v>23</v>
      </c>
      <c r="G30" s="22">
        <v>2025</v>
      </c>
      <c r="H30" s="23">
        <f>'Spectrum Inputs'!B64</f>
        <v>11822</v>
      </c>
      <c r="I30" s="23">
        <f>'Spectrum Inputs'!B8</f>
        <v>13442033</v>
      </c>
      <c r="J30" s="37">
        <f t="shared" si="17"/>
        <v>87.948006079139972</v>
      </c>
      <c r="K30" s="23">
        <f>'Spectrum Inputs'!C64</f>
        <v>11644</v>
      </c>
      <c r="L30" s="23">
        <f>'Spectrum Inputs'!C8</f>
        <v>13906074</v>
      </c>
      <c r="M30" s="37">
        <f t="shared" si="18"/>
        <v>83.733194573824349</v>
      </c>
      <c r="N30" s="25">
        <f t="shared" si="2"/>
        <v>-4.7923900645603347E-2</v>
      </c>
      <c r="O30" s="23">
        <f>'Spectrum Inputs'!D64</f>
        <v>11359</v>
      </c>
      <c r="P30" s="23">
        <f>'Spectrum Inputs'!D8</f>
        <v>14373096</v>
      </c>
      <c r="Q30" s="37">
        <f t="shared" si="19"/>
        <v>79.029598076851357</v>
      </c>
      <c r="R30" s="25">
        <f t="shared" si="4"/>
        <v>-0.10140545988346103</v>
      </c>
      <c r="S30" s="23">
        <f>'Spectrum Inputs'!E64</f>
        <v>10989</v>
      </c>
      <c r="T30" s="23">
        <f>'Spectrum Inputs'!E8</f>
        <v>14843999</v>
      </c>
      <c r="U30" s="37">
        <f t="shared" si="20"/>
        <v>74.029916062376458</v>
      </c>
      <c r="V30" s="25">
        <f t="shared" si="6"/>
        <v>-0.15825361639511562</v>
      </c>
      <c r="W30" s="23">
        <f>'Spectrum Inputs'!F64</f>
        <v>10681</v>
      </c>
      <c r="X30" s="23">
        <f>'Spectrum Inputs'!F8</f>
        <v>15319611</v>
      </c>
      <c r="Y30" s="37">
        <f t="shared" si="21"/>
        <v>69.721091482022615</v>
      </c>
      <c r="Z30" s="25">
        <f t="shared" si="8"/>
        <v>-0.20724647902438945</v>
      </c>
      <c r="AA30" s="23">
        <f>'Spectrum Inputs'!G64</f>
        <v>10365</v>
      </c>
      <c r="AB30" s="23">
        <f>'Spectrum Inputs'!G8</f>
        <v>15788915</v>
      </c>
      <c r="AC30" s="37">
        <f t="shared" si="22"/>
        <v>65.647322821105817</v>
      </c>
      <c r="AD30" s="25">
        <f t="shared" si="10"/>
        <v>-0.25356667254021537</v>
      </c>
      <c r="AE30" s="3"/>
      <c r="AF30" s="27"/>
    </row>
    <row r="31" spans="1:32" s="17" customFormat="1" ht="19.5" customHeight="1" x14ac:dyDescent="0.35">
      <c r="A31" s="4"/>
      <c r="B31" s="4"/>
      <c r="C31" s="4"/>
      <c r="D31" s="4"/>
      <c r="E31" s="20"/>
      <c r="F31" s="21" t="s">
        <v>24</v>
      </c>
      <c r="G31" s="22">
        <v>2025</v>
      </c>
      <c r="H31" s="23">
        <f>'Spectrum Inputs'!B65</f>
        <v>7194</v>
      </c>
      <c r="I31" s="23">
        <f>'Spectrum Inputs'!B9</f>
        <v>11419581</v>
      </c>
      <c r="J31" s="37">
        <f t="shared" si="17"/>
        <v>62.997057422684769</v>
      </c>
      <c r="K31" s="23">
        <f>'Spectrum Inputs'!C65</f>
        <v>7126</v>
      </c>
      <c r="L31" s="23">
        <f>'Spectrum Inputs'!C9</f>
        <v>11706783</v>
      </c>
      <c r="M31" s="37">
        <f t="shared" si="18"/>
        <v>60.870693511616295</v>
      </c>
      <c r="N31" s="25">
        <f t="shared" si="2"/>
        <v>-3.3753384650991425E-2</v>
      </c>
      <c r="O31" s="23">
        <f>'Spectrum Inputs'!D65</f>
        <v>6874</v>
      </c>
      <c r="P31" s="23">
        <f>'Spectrum Inputs'!D9</f>
        <v>11999216</v>
      </c>
      <c r="Q31" s="37">
        <f t="shared" si="19"/>
        <v>57.287076088971141</v>
      </c>
      <c r="R31" s="25">
        <f t="shared" si="4"/>
        <v>-9.0638857866042269E-2</v>
      </c>
      <c r="S31" s="23">
        <f>'Spectrum Inputs'!E65</f>
        <v>6575</v>
      </c>
      <c r="T31" s="23">
        <f>'Spectrum Inputs'!E9</f>
        <v>12294348</v>
      </c>
      <c r="U31" s="37">
        <f t="shared" si="20"/>
        <v>53.479859200341487</v>
      </c>
      <c r="V31" s="25">
        <f t="shared" si="6"/>
        <v>-0.15107369473603716</v>
      </c>
      <c r="W31" s="23">
        <f>'Spectrum Inputs'!F65</f>
        <v>6392</v>
      </c>
      <c r="X31" s="23">
        <f>'Spectrum Inputs'!F9</f>
        <v>12597774</v>
      </c>
      <c r="Y31" s="37">
        <f t="shared" si="21"/>
        <v>50.739122641825453</v>
      </c>
      <c r="Z31" s="25">
        <f t="shared" si="8"/>
        <v>-0.19457948168298611</v>
      </c>
      <c r="AA31" s="23">
        <f>'Spectrum Inputs'!G65</f>
        <v>6224</v>
      </c>
      <c r="AB31" s="23">
        <f>'Spectrum Inputs'!G9</f>
        <v>12900866</v>
      </c>
      <c r="AC31" s="37">
        <f t="shared" si="22"/>
        <v>48.244823254500901</v>
      </c>
      <c r="AD31" s="25">
        <f t="shared" si="10"/>
        <v>-0.23417338478529792</v>
      </c>
      <c r="AE31" s="3"/>
      <c r="AF31" s="27"/>
    </row>
    <row r="32" spans="1:32" s="17" customFormat="1" ht="19.5" customHeight="1" x14ac:dyDescent="0.35">
      <c r="A32" s="4"/>
      <c r="B32" s="4"/>
      <c r="C32" s="4"/>
      <c r="D32" s="4"/>
      <c r="E32" s="20"/>
      <c r="F32" s="21" t="s">
        <v>25</v>
      </c>
      <c r="G32" s="22">
        <v>2025</v>
      </c>
      <c r="H32" s="23">
        <f>'Spectrum Inputs'!B66</f>
        <v>5665</v>
      </c>
      <c r="I32" s="23">
        <f>'Spectrum Inputs'!B10</f>
        <v>10962864</v>
      </c>
      <c r="J32" s="37">
        <f t="shared" si="17"/>
        <v>51.674452953169904</v>
      </c>
      <c r="K32" s="23">
        <f>'Spectrum Inputs'!C66</f>
        <v>5469</v>
      </c>
      <c r="L32" s="23">
        <f>'Spectrum Inputs'!C10</f>
        <v>11243897</v>
      </c>
      <c r="M32" s="37">
        <f t="shared" si="18"/>
        <v>48.639719840905691</v>
      </c>
      <c r="N32" s="25">
        <f t="shared" si="2"/>
        <v>-5.8727919481110856E-2</v>
      </c>
      <c r="O32" s="23">
        <f>'Spectrum Inputs'!D66</f>
        <v>5229</v>
      </c>
      <c r="P32" s="23">
        <f>'Spectrum Inputs'!D10</f>
        <v>11529779</v>
      </c>
      <c r="Q32" s="37">
        <f t="shared" si="19"/>
        <v>45.35212687077523</v>
      </c>
      <c r="R32" s="25">
        <f t="shared" si="4"/>
        <v>-0.12234916329204873</v>
      </c>
      <c r="S32" s="23">
        <f>'Spectrum Inputs'!E66</f>
        <v>4994</v>
      </c>
      <c r="T32" s="23">
        <f>'Spectrum Inputs'!E10</f>
        <v>11817768</v>
      </c>
      <c r="U32" s="37">
        <f t="shared" si="20"/>
        <v>42.258402771149342</v>
      </c>
      <c r="V32" s="25">
        <f t="shared" si="6"/>
        <v>-0.18221867177875845</v>
      </c>
      <c r="W32" s="23">
        <f>'Spectrum Inputs'!F66</f>
        <v>4792</v>
      </c>
      <c r="X32" s="23">
        <f>'Spectrum Inputs'!F10</f>
        <v>12114196</v>
      </c>
      <c r="Y32" s="37">
        <f t="shared" si="21"/>
        <v>39.556896718527582</v>
      </c>
      <c r="Z32" s="25">
        <f t="shared" si="8"/>
        <v>-0.23449800708338192</v>
      </c>
      <c r="AA32" s="23">
        <f>'Spectrum Inputs'!G66</f>
        <v>4590</v>
      </c>
      <c r="AB32" s="23">
        <f>'Spectrum Inputs'!G10</f>
        <v>12409685</v>
      </c>
      <c r="AC32" s="37">
        <f t="shared" si="22"/>
        <v>36.987240207950485</v>
      </c>
      <c r="AD32" s="25">
        <f t="shared" si="10"/>
        <v>-0.28422580029109823</v>
      </c>
      <c r="AE32" s="3"/>
      <c r="AF32" s="27"/>
    </row>
    <row r="33" spans="1:32" s="17" customFormat="1" ht="19.5" customHeight="1" x14ac:dyDescent="0.35">
      <c r="A33" s="4"/>
      <c r="B33" s="4"/>
      <c r="C33" s="4"/>
      <c r="D33" s="4"/>
      <c r="E33" s="20"/>
      <c r="F33" s="21" t="s">
        <v>26</v>
      </c>
      <c r="G33" s="22">
        <v>2025</v>
      </c>
      <c r="H33" s="23">
        <f>'Spectrum Inputs'!B67</f>
        <v>342</v>
      </c>
      <c r="I33" s="23">
        <f>'Spectrum Inputs'!B11</f>
        <v>1330397</v>
      </c>
      <c r="J33" s="37">
        <f t="shared" si="17"/>
        <v>25.706612387129557</v>
      </c>
      <c r="K33" s="23">
        <f>'Spectrum Inputs'!C67</f>
        <v>323</v>
      </c>
      <c r="L33" s="23">
        <f>'Spectrum Inputs'!C11</f>
        <v>1353435</v>
      </c>
      <c r="M33" s="37">
        <f t="shared" si="18"/>
        <v>23.86520224465896</v>
      </c>
      <c r="N33" s="25">
        <f t="shared" si="2"/>
        <v>-7.1631769862937275E-2</v>
      </c>
      <c r="O33" s="23">
        <f>'Spectrum Inputs'!D67</f>
        <v>299</v>
      </c>
      <c r="P33" s="23">
        <f>'Spectrum Inputs'!D11</f>
        <v>1371236</v>
      </c>
      <c r="Q33" s="37">
        <f t="shared" si="19"/>
        <v>21.805145139129952</v>
      </c>
      <c r="R33" s="25">
        <f t="shared" si="4"/>
        <v>-0.15176901527300968</v>
      </c>
      <c r="S33" s="23">
        <f>'Spectrum Inputs'!E67</f>
        <v>270</v>
      </c>
      <c r="T33" s="23">
        <f>'Spectrum Inputs'!E11</f>
        <v>1386218</v>
      </c>
      <c r="U33" s="37">
        <f t="shared" si="20"/>
        <v>19.477455926845561</v>
      </c>
      <c r="V33" s="25">
        <f t="shared" si="6"/>
        <v>-0.24231728266936978</v>
      </c>
      <c r="W33" s="23">
        <f>'Spectrum Inputs'!F67</f>
        <v>242</v>
      </c>
      <c r="X33" s="23">
        <f>'Spectrum Inputs'!F11</f>
        <v>1396856</v>
      </c>
      <c r="Y33" s="37">
        <f t="shared" si="21"/>
        <v>17.32462043331596</v>
      </c>
      <c r="Z33" s="25">
        <f t="shared" si="8"/>
        <v>-0.32606365349057737</v>
      </c>
      <c r="AA33" s="23">
        <f>'Spectrum Inputs'!G67</f>
        <v>212</v>
      </c>
      <c r="AB33" s="23">
        <f>'Spectrum Inputs'!G11</f>
        <v>1404326</v>
      </c>
      <c r="AC33" s="37">
        <f t="shared" si="22"/>
        <v>15.096209854407023</v>
      </c>
      <c r="AD33" s="25">
        <f t="shared" si="10"/>
        <v>-0.41274993269960408</v>
      </c>
      <c r="AE33" s="3"/>
      <c r="AF33" s="27"/>
    </row>
    <row r="34" spans="1:32" s="17" customFormat="1" ht="19.5" customHeight="1" x14ac:dyDescent="0.35">
      <c r="A34" s="4"/>
      <c r="B34" s="4"/>
      <c r="C34" s="4"/>
      <c r="D34" s="4"/>
      <c r="E34" s="20"/>
      <c r="F34" s="21" t="s">
        <v>27</v>
      </c>
      <c r="G34" s="22">
        <v>2025</v>
      </c>
      <c r="H34" s="23">
        <f>'Spectrum Inputs'!B68</f>
        <v>526</v>
      </c>
      <c r="I34" s="23">
        <f>'Spectrum Inputs'!B12</f>
        <v>1126696</v>
      </c>
      <c r="J34" s="37">
        <f t="shared" si="17"/>
        <v>46.685175060530966</v>
      </c>
      <c r="K34" s="23">
        <f>'Spectrum Inputs'!C68</f>
        <v>507</v>
      </c>
      <c r="L34" s="23">
        <f>'Spectrum Inputs'!C12</f>
        <v>1170408</v>
      </c>
      <c r="M34" s="37">
        <f t="shared" si="18"/>
        <v>43.318227489900956</v>
      </c>
      <c r="N34" s="25">
        <f t="shared" si="2"/>
        <v>-7.2120273004535176E-2</v>
      </c>
      <c r="O34" s="23">
        <f>'Spectrum Inputs'!D68</f>
        <v>484</v>
      </c>
      <c r="P34" s="23">
        <f>'Spectrum Inputs'!D12</f>
        <v>1213519</v>
      </c>
      <c r="Q34" s="37">
        <f t="shared" si="19"/>
        <v>39.884006760503951</v>
      </c>
      <c r="R34" s="25">
        <f t="shared" si="4"/>
        <v>-0.14568154218568893</v>
      </c>
      <c r="S34" s="23">
        <f>'Spectrum Inputs'!E68</f>
        <v>454</v>
      </c>
      <c r="T34" s="23">
        <f>'Spectrum Inputs'!E12</f>
        <v>1253971</v>
      </c>
      <c r="U34" s="37">
        <f t="shared" si="20"/>
        <v>36.20498400680718</v>
      </c>
      <c r="V34" s="25">
        <f t="shared" si="6"/>
        <v>-0.22448648934346721</v>
      </c>
      <c r="W34" s="23">
        <f>'Spectrum Inputs'!F68</f>
        <v>431</v>
      </c>
      <c r="X34" s="23">
        <f>'Spectrum Inputs'!F12</f>
        <v>1289970</v>
      </c>
      <c r="Y34" s="37">
        <f t="shared" si="21"/>
        <v>33.411629727823133</v>
      </c>
      <c r="Z34" s="25">
        <f t="shared" si="8"/>
        <v>-0.28432035042168413</v>
      </c>
      <c r="AA34" s="23">
        <f>'Spectrum Inputs'!G68</f>
        <v>410</v>
      </c>
      <c r="AB34" s="23">
        <f>'Spectrum Inputs'!G12</f>
        <v>1318466</v>
      </c>
      <c r="AC34" s="37">
        <f t="shared" si="22"/>
        <v>31.096744246723087</v>
      </c>
      <c r="AD34" s="25">
        <f t="shared" si="10"/>
        <v>-0.33390537346376581</v>
      </c>
      <c r="AE34" s="3"/>
      <c r="AF34" s="27"/>
    </row>
    <row r="35" spans="1:32" s="17" customFormat="1" ht="19.5" customHeight="1" x14ac:dyDescent="0.35">
      <c r="A35" s="4"/>
      <c r="B35" s="4"/>
      <c r="C35" s="4"/>
      <c r="D35" s="4"/>
      <c r="E35" s="20"/>
      <c r="F35" s="21" t="s">
        <v>28</v>
      </c>
      <c r="G35" s="22">
        <v>2025</v>
      </c>
      <c r="H35" s="23">
        <f>'Spectrum Inputs'!B69</f>
        <v>377</v>
      </c>
      <c r="I35" s="23">
        <f>'Spectrum Inputs'!B13</f>
        <v>1310146</v>
      </c>
      <c r="J35" s="37">
        <f t="shared" si="17"/>
        <v>28.775418922776545</v>
      </c>
      <c r="K35" s="23">
        <f>'Spectrum Inputs'!C69</f>
        <v>351</v>
      </c>
      <c r="L35" s="23">
        <f>'Spectrum Inputs'!C13</f>
        <v>1334948</v>
      </c>
      <c r="M35" s="37">
        <f t="shared" si="18"/>
        <v>26.293158984469809</v>
      </c>
      <c r="N35" s="25">
        <f t="shared" si="2"/>
        <v>-8.6263207669305494E-2</v>
      </c>
      <c r="O35" s="23">
        <f>'Spectrum Inputs'!D69</f>
        <v>325</v>
      </c>
      <c r="P35" s="23">
        <f>'Spectrum Inputs'!D13</f>
        <v>1354681</v>
      </c>
      <c r="Q35" s="37">
        <f t="shared" si="19"/>
        <v>23.990887891688153</v>
      </c>
      <c r="R35" s="25">
        <f t="shared" si="4"/>
        <v>-0.1662714639855791</v>
      </c>
      <c r="S35" s="23">
        <f>'Spectrum Inputs'!E69</f>
        <v>297</v>
      </c>
      <c r="T35" s="23">
        <f>'Spectrum Inputs'!E13</f>
        <v>1372027</v>
      </c>
      <c r="U35" s="37">
        <f t="shared" si="20"/>
        <v>21.646804326737008</v>
      </c>
      <c r="V35" s="25">
        <f t="shared" si="6"/>
        <v>-0.24773278245471658</v>
      </c>
      <c r="W35" s="23">
        <f>'Spectrum Inputs'!F69</f>
        <v>266</v>
      </c>
      <c r="X35" s="23">
        <f>'Spectrum Inputs'!F13</f>
        <v>1385244</v>
      </c>
      <c r="Y35" s="37">
        <f t="shared" si="21"/>
        <v>19.202393224587151</v>
      </c>
      <c r="Z35" s="25">
        <f t="shared" si="8"/>
        <v>-0.33268067178726901</v>
      </c>
      <c r="AA35" s="23">
        <f>'Spectrum Inputs'!G69</f>
        <v>229</v>
      </c>
      <c r="AB35" s="23">
        <f>'Spectrum Inputs'!G13</f>
        <v>1395124</v>
      </c>
      <c r="AC35" s="37">
        <f t="shared" si="22"/>
        <v>16.414311559402606</v>
      </c>
      <c r="AD35" s="25">
        <f t="shared" si="10"/>
        <v>-0.42957176041631068</v>
      </c>
      <c r="AE35" s="3"/>
      <c r="AF35" s="27"/>
    </row>
    <row r="36" spans="1:32" s="17" customFormat="1" ht="19.5" customHeight="1" x14ac:dyDescent="0.35">
      <c r="A36" s="4"/>
      <c r="B36" s="4"/>
      <c r="C36" s="4"/>
      <c r="D36" s="4"/>
      <c r="E36" s="20"/>
      <c r="F36" s="21" t="s">
        <v>29</v>
      </c>
      <c r="G36" s="22">
        <v>2025</v>
      </c>
      <c r="H36" s="23">
        <f>'Spectrum Inputs'!B70</f>
        <v>423</v>
      </c>
      <c r="I36" s="23">
        <f>'Spectrum Inputs'!B14</f>
        <v>1103171</v>
      </c>
      <c r="J36" s="37">
        <f t="shared" si="17"/>
        <v>38.344010130795681</v>
      </c>
      <c r="K36" s="23">
        <f>'Spectrum Inputs'!C70</f>
        <v>410</v>
      </c>
      <c r="L36" s="23">
        <f>'Spectrum Inputs'!C14</f>
        <v>1145142</v>
      </c>
      <c r="M36" s="37">
        <f t="shared" si="18"/>
        <v>35.803420012539931</v>
      </c>
      <c r="N36" s="25">
        <f t="shared" si="2"/>
        <v>-6.6257809488092526E-2</v>
      </c>
      <c r="O36" s="23">
        <f>'Spectrum Inputs'!D70</f>
        <v>398</v>
      </c>
      <c r="P36" s="23">
        <f>'Spectrum Inputs'!D14</f>
        <v>1187140</v>
      </c>
      <c r="Q36" s="37">
        <f t="shared" si="19"/>
        <v>33.525953131054472</v>
      </c>
      <c r="R36" s="25">
        <f t="shared" si="4"/>
        <v>-0.12565344582651322</v>
      </c>
      <c r="S36" s="23">
        <f>'Spectrum Inputs'!E70</f>
        <v>381</v>
      </c>
      <c r="T36" s="23">
        <f>'Spectrum Inputs'!E14</f>
        <v>1226922</v>
      </c>
      <c r="U36" s="37">
        <f t="shared" si="20"/>
        <v>31.053318792881697</v>
      </c>
      <c r="V36" s="25">
        <f t="shared" si="6"/>
        <v>-0.19013898945479685</v>
      </c>
      <c r="W36" s="23">
        <f>'Spectrum Inputs'!F70</f>
        <v>364</v>
      </c>
      <c r="X36" s="23">
        <f>'Spectrum Inputs'!F14</f>
        <v>1263077</v>
      </c>
      <c r="Y36" s="37">
        <f t="shared" si="21"/>
        <v>28.818512252222153</v>
      </c>
      <c r="Z36" s="25">
        <f t="shared" si="8"/>
        <v>-0.24842205721522073</v>
      </c>
      <c r="AA36" s="23">
        <f>'Spectrum Inputs'!G70</f>
        <v>347</v>
      </c>
      <c r="AB36" s="23">
        <f>'Spectrum Inputs'!G14</f>
        <v>1292620</v>
      </c>
      <c r="AC36" s="37">
        <f t="shared" si="22"/>
        <v>26.844703006297291</v>
      </c>
      <c r="AD36" s="25">
        <f t="shared" si="10"/>
        <v>-0.29989839574089866</v>
      </c>
      <c r="AE36" s="3"/>
      <c r="AF36" s="27"/>
    </row>
    <row r="37" spans="1:32" s="17" customFormat="1" ht="96.75" customHeight="1" x14ac:dyDescent="0.35">
      <c r="A37" s="29" t="s">
        <v>14</v>
      </c>
      <c r="B37" s="30" t="s">
        <v>52</v>
      </c>
      <c r="C37" s="30" t="s">
        <v>53</v>
      </c>
      <c r="D37" s="30" t="s">
        <v>54</v>
      </c>
      <c r="E37" s="31" t="s">
        <v>55</v>
      </c>
      <c r="F37" s="32" t="s">
        <v>56</v>
      </c>
      <c r="G37" s="33">
        <v>2025</v>
      </c>
      <c r="H37" s="34">
        <f>I37*J37/100</f>
        <v>1734.7228</v>
      </c>
      <c r="I37" s="34">
        <f>'Spectrum Inputs'!B97</f>
        <v>29452</v>
      </c>
      <c r="J37" s="38">
        <f>'Spectrum Inputs'!B99</f>
        <v>5.89</v>
      </c>
      <c r="K37" s="34">
        <f>L37*M37/100</f>
        <v>1427.9832000000001</v>
      </c>
      <c r="L37" s="34">
        <f>'Spectrum Inputs'!C97</f>
        <v>27356</v>
      </c>
      <c r="M37" s="38">
        <f>'Spectrum Inputs'!C99</f>
        <v>5.22</v>
      </c>
      <c r="N37" s="36">
        <f t="shared" si="2"/>
        <v>-0.11375212224108658</v>
      </c>
      <c r="O37" s="34">
        <f>P37*Q37/100</f>
        <v>1337.6148000000001</v>
      </c>
      <c r="P37" s="34">
        <f>'Spectrum Inputs'!D97</f>
        <v>25527</v>
      </c>
      <c r="Q37" s="38">
        <f>'Spectrum Inputs'!D99</f>
        <v>5.24</v>
      </c>
      <c r="R37" s="36">
        <f t="shared" si="4"/>
        <v>-0.11035653650254661</v>
      </c>
      <c r="S37" s="34">
        <f>T37*U37/100</f>
        <v>1264.9896000000001</v>
      </c>
      <c r="T37" s="34">
        <f>'Spectrum Inputs'!E97</f>
        <v>23778</v>
      </c>
      <c r="U37" s="38">
        <f>'Spectrum Inputs'!E99</f>
        <v>5.32</v>
      </c>
      <c r="V37" s="36">
        <f t="shared" si="6"/>
        <v>-9.6774193548386997E-2</v>
      </c>
      <c r="W37" s="34">
        <f>X37*Y37/100</f>
        <v>1204.7033999999999</v>
      </c>
      <c r="X37" s="34">
        <f>'Spectrum Inputs'!F97</f>
        <v>22227</v>
      </c>
      <c r="Y37" s="38">
        <f>'Spectrum Inputs'!F99</f>
        <v>5.42</v>
      </c>
      <c r="Z37" s="36">
        <f t="shared" si="8"/>
        <v>-7.9796264855687568E-2</v>
      </c>
      <c r="AA37" s="34">
        <f>AB37*AC37/100</f>
        <v>1148.9739999999999</v>
      </c>
      <c r="AB37" s="34">
        <f>'Spectrum Inputs'!G97</f>
        <v>20665</v>
      </c>
      <c r="AC37" s="38">
        <f>'Spectrum Inputs'!G99</f>
        <v>5.56</v>
      </c>
      <c r="AD37" s="36">
        <f t="shared" si="10"/>
        <v>-5.6027164685908334E-2</v>
      </c>
      <c r="AE37" s="30" t="s">
        <v>57</v>
      </c>
      <c r="AF37" s="27"/>
    </row>
    <row r="38" spans="1:32" s="17" customFormat="1" ht="30" customHeight="1" x14ac:dyDescent="0.35">
      <c r="A38" s="4" t="s">
        <v>58</v>
      </c>
      <c r="B38" s="3" t="s">
        <v>59</v>
      </c>
      <c r="C38" s="3" t="s">
        <v>60</v>
      </c>
      <c r="D38" s="3" t="s">
        <v>16</v>
      </c>
      <c r="E38" s="20" t="s">
        <v>61</v>
      </c>
      <c r="F38" s="21" t="s">
        <v>19</v>
      </c>
      <c r="G38" s="22">
        <v>2025</v>
      </c>
      <c r="H38" s="23">
        <f>'Spectrum Inputs'!C116</f>
        <v>963044.9375</v>
      </c>
      <c r="I38" s="23">
        <f>'Spectrum Inputs'!B116</f>
        <v>1006958.688</v>
      </c>
      <c r="J38" s="24">
        <f t="shared" ref="J38:J47" si="23">IFERROR(H38/I38*100,"")</f>
        <v>95.638971983327295</v>
      </c>
      <c r="K38" s="23">
        <f t="shared" ref="K38:K47" si="24">IFERROR(M38/100*L38,"")</f>
        <v>956610.75359999994</v>
      </c>
      <c r="L38" s="23">
        <f t="shared" ref="L38:L47" si="25">I38</f>
        <v>1006958.688</v>
      </c>
      <c r="M38" s="24">
        <f>95</f>
        <v>95</v>
      </c>
      <c r="N38" s="25">
        <f t="shared" ref="N38:N57" si="26">IFERROR((M38-J38)/J38,"")</f>
        <v>-6.6810837682225047E-3</v>
      </c>
      <c r="O38" s="23">
        <f t="shared" ref="O38:O47" si="27">IFERROR(Q38/100*P38,"")</f>
        <v>956610.75359999994</v>
      </c>
      <c r="P38" s="23">
        <f t="shared" ref="P38:P47" si="28">I38</f>
        <v>1006958.688</v>
      </c>
      <c r="Q38" s="24">
        <f>95</f>
        <v>95</v>
      </c>
      <c r="R38" s="25">
        <f t="shared" ref="R38:R57" si="29">IFERROR((Q38-J38)/J38,"")</f>
        <v>-6.6810837682225047E-3</v>
      </c>
      <c r="S38" s="23">
        <f t="shared" ref="S38:S47" si="30">IFERROR(U38/100*T38,"")</f>
        <v>956610.75359999994</v>
      </c>
      <c r="T38" s="23">
        <f t="shared" ref="T38:T47" si="31">I38</f>
        <v>1006958.688</v>
      </c>
      <c r="U38" s="24">
        <f>95</f>
        <v>95</v>
      </c>
      <c r="V38" s="25">
        <f t="shared" ref="V38:V57" si="32">IFERROR((U38-J38)/J38,"")</f>
        <v>-6.6810837682225047E-3</v>
      </c>
      <c r="W38" s="23">
        <f t="shared" ref="W38:W47" si="33">IFERROR(Y38/100*X38,"")</f>
        <v>956610.75359999994</v>
      </c>
      <c r="X38" s="23">
        <f t="shared" ref="X38:X47" si="34">I38</f>
        <v>1006958.688</v>
      </c>
      <c r="Y38" s="24">
        <f>95</f>
        <v>95</v>
      </c>
      <c r="Z38" s="25">
        <f t="shared" ref="Z38:Z57" si="35">IFERROR((Y38-J38)/J38,"")</f>
        <v>-6.6810837682225047E-3</v>
      </c>
      <c r="AA38" s="23">
        <f t="shared" ref="AA38:AA47" si="36">IFERROR(AC38/100*AB38,"")</f>
        <v>956610.75359999994</v>
      </c>
      <c r="AB38" s="23">
        <f t="shared" ref="AB38:AB47" si="37">I38</f>
        <v>1006958.688</v>
      </c>
      <c r="AC38" s="24">
        <f>95</f>
        <v>95</v>
      </c>
      <c r="AD38" s="25">
        <f t="shared" ref="AD38:AD57" si="38">IFERROR((AC38-J38)/J38,"")</f>
        <v>-6.6810837682225047E-3</v>
      </c>
      <c r="AE38" s="19" t="s">
        <v>62</v>
      </c>
      <c r="AF38" s="27"/>
    </row>
    <row r="39" spans="1:32" s="17" customFormat="1" ht="19.5" customHeight="1" x14ac:dyDescent="0.35">
      <c r="A39" s="4"/>
      <c r="B39" s="4"/>
      <c r="C39" s="4"/>
      <c r="D39" s="4"/>
      <c r="E39" s="20"/>
      <c r="F39" s="21" t="s">
        <v>46</v>
      </c>
      <c r="G39" s="22">
        <v>2025</v>
      </c>
      <c r="H39" s="23">
        <f>'Spectrum Inputs'!C118</f>
        <v>36740.894529999998</v>
      </c>
      <c r="I39" s="23">
        <f>'Spectrum Inputs'!B118</f>
        <v>42116.601560000003</v>
      </c>
      <c r="J39" s="24">
        <f t="shared" si="23"/>
        <v>87.236132947855054</v>
      </c>
      <c r="K39" s="23">
        <f t="shared" si="24"/>
        <v>36973.703904799993</v>
      </c>
      <c r="L39" s="23">
        <f t="shared" si="25"/>
        <v>42116.601560000003</v>
      </c>
      <c r="M39" s="24">
        <f>IFERROR(J39+(90-J39)*1/5,"")</f>
        <v>87.788906358284038</v>
      </c>
      <c r="N39" s="25">
        <f t="shared" si="26"/>
        <v>6.3365189600896321E-3</v>
      </c>
      <c r="O39" s="23">
        <f t="shared" si="27"/>
        <v>37206.513279600003</v>
      </c>
      <c r="P39" s="23">
        <f t="shared" si="28"/>
        <v>42116.601560000003</v>
      </c>
      <c r="Q39" s="24">
        <f>IFERROR(J39+(90-J39)*2/5,"")</f>
        <v>88.341679768713036</v>
      </c>
      <c r="R39" s="25">
        <f t="shared" si="29"/>
        <v>1.2673037920179427E-2</v>
      </c>
      <c r="S39" s="23">
        <f t="shared" si="30"/>
        <v>37439.322654399999</v>
      </c>
      <c r="T39" s="23">
        <f t="shared" si="31"/>
        <v>42116.601560000003</v>
      </c>
      <c r="U39" s="24">
        <f>IFERROR(J39+(90-J39)*3/5,"")</f>
        <v>88.894453179142019</v>
      </c>
      <c r="V39" s="25">
        <f t="shared" si="32"/>
        <v>1.9009556880269059E-2</v>
      </c>
      <c r="W39" s="23">
        <f t="shared" si="33"/>
        <v>37672.132029200002</v>
      </c>
      <c r="X39" s="23">
        <f t="shared" si="34"/>
        <v>42116.601560000003</v>
      </c>
      <c r="Y39" s="24">
        <f>IFERROR(J39+(90-J39)*4/5,"")</f>
        <v>89.447226589571017</v>
      </c>
      <c r="Z39" s="25">
        <f t="shared" si="35"/>
        <v>2.5346075840358855E-2</v>
      </c>
      <c r="AA39" s="23">
        <f t="shared" si="36"/>
        <v>37904.941404000005</v>
      </c>
      <c r="AB39" s="23">
        <f t="shared" si="37"/>
        <v>42116.601560000003</v>
      </c>
      <c r="AC39" s="24">
        <f>IFERROR(J39+(90-J39)*5/5,"")</f>
        <v>90</v>
      </c>
      <c r="AD39" s="25">
        <f t="shared" si="38"/>
        <v>3.1682594800448487E-2</v>
      </c>
      <c r="AE39" s="19" t="s">
        <v>63</v>
      </c>
      <c r="AF39" s="27"/>
    </row>
    <row r="40" spans="1:32" s="17" customFormat="1" ht="19.5" customHeight="1" x14ac:dyDescent="0.35">
      <c r="A40" s="4"/>
      <c r="B40" s="4"/>
      <c r="C40" s="4"/>
      <c r="D40" s="4"/>
      <c r="E40" s="20"/>
      <c r="F40" s="21" t="s">
        <v>23</v>
      </c>
      <c r="G40" s="22">
        <v>2025</v>
      </c>
      <c r="H40" s="23">
        <f>'Spectrum Inputs'!C117</f>
        <v>926304.0625</v>
      </c>
      <c r="I40" s="23">
        <f>'Spectrum Inputs'!B117</f>
        <v>964842.0625</v>
      </c>
      <c r="J40" s="24">
        <f t="shared" si="23"/>
        <v>96.005771151794079</v>
      </c>
      <c r="K40" s="23">
        <f t="shared" si="24"/>
        <v>916599.95937499998</v>
      </c>
      <c r="L40" s="23">
        <f t="shared" si="25"/>
        <v>964842.0625</v>
      </c>
      <c r="M40" s="24">
        <f>95</f>
        <v>95</v>
      </c>
      <c r="N40" s="25">
        <f t="shared" si="26"/>
        <v>-1.0476153045048311E-2</v>
      </c>
      <c r="O40" s="23">
        <f t="shared" si="27"/>
        <v>916599.95937499998</v>
      </c>
      <c r="P40" s="23">
        <f t="shared" si="28"/>
        <v>964842.0625</v>
      </c>
      <c r="Q40" s="24">
        <f>95</f>
        <v>95</v>
      </c>
      <c r="R40" s="25">
        <f t="shared" si="29"/>
        <v>-1.0476153045048311E-2</v>
      </c>
      <c r="S40" s="23">
        <f t="shared" si="30"/>
        <v>916599.95937499998</v>
      </c>
      <c r="T40" s="23">
        <f t="shared" si="31"/>
        <v>964842.0625</v>
      </c>
      <c r="U40" s="24">
        <f>95</f>
        <v>95</v>
      </c>
      <c r="V40" s="25">
        <f t="shared" si="32"/>
        <v>-1.0476153045048311E-2</v>
      </c>
      <c r="W40" s="23">
        <f t="shared" si="33"/>
        <v>916599.95937499998</v>
      </c>
      <c r="X40" s="23">
        <f t="shared" si="34"/>
        <v>964842.0625</v>
      </c>
      <c r="Y40" s="24">
        <f>95</f>
        <v>95</v>
      </c>
      <c r="Z40" s="25">
        <f t="shared" si="35"/>
        <v>-1.0476153045048311E-2</v>
      </c>
      <c r="AA40" s="23">
        <f t="shared" si="36"/>
        <v>916599.95937499998</v>
      </c>
      <c r="AB40" s="23">
        <f t="shared" si="37"/>
        <v>964842.0625</v>
      </c>
      <c r="AC40" s="24">
        <f>95</f>
        <v>95</v>
      </c>
      <c r="AD40" s="25">
        <f t="shared" si="38"/>
        <v>-1.0476153045048311E-2</v>
      </c>
      <c r="AE40" s="3" t="s">
        <v>62</v>
      </c>
      <c r="AF40" s="27"/>
    </row>
    <row r="41" spans="1:32" s="17" customFormat="1" ht="19.5" customHeight="1" x14ac:dyDescent="0.35">
      <c r="A41" s="4"/>
      <c r="B41" s="4"/>
      <c r="C41" s="4"/>
      <c r="D41" s="4"/>
      <c r="E41" s="20"/>
      <c r="F41" s="21" t="s">
        <v>24</v>
      </c>
      <c r="G41" s="22">
        <v>2025</v>
      </c>
      <c r="H41" s="23">
        <f>'Spectrum Inputs'!C120</f>
        <v>607668.3125</v>
      </c>
      <c r="I41" s="23">
        <f>'Spectrum Inputs'!B120</f>
        <v>625435.1875</v>
      </c>
      <c r="J41" s="24">
        <f t="shared" si="23"/>
        <v>97.159277994732264</v>
      </c>
      <c r="K41" s="23">
        <f t="shared" si="24"/>
        <v>594163.42812499998</v>
      </c>
      <c r="L41" s="23">
        <f t="shared" si="25"/>
        <v>625435.1875</v>
      </c>
      <c r="M41" s="24">
        <f>95</f>
        <v>95</v>
      </c>
      <c r="N41" s="25">
        <f t="shared" si="26"/>
        <v>-2.2224104988196131E-2</v>
      </c>
      <c r="O41" s="23">
        <f t="shared" si="27"/>
        <v>594163.42812499998</v>
      </c>
      <c r="P41" s="23">
        <f t="shared" si="28"/>
        <v>625435.1875</v>
      </c>
      <c r="Q41" s="24">
        <f>95</f>
        <v>95</v>
      </c>
      <c r="R41" s="25">
        <f t="shared" si="29"/>
        <v>-2.2224104988196131E-2</v>
      </c>
      <c r="S41" s="23">
        <f t="shared" si="30"/>
        <v>594163.42812499998</v>
      </c>
      <c r="T41" s="23">
        <f t="shared" si="31"/>
        <v>625435.1875</v>
      </c>
      <c r="U41" s="24">
        <f>95</f>
        <v>95</v>
      </c>
      <c r="V41" s="25">
        <f t="shared" si="32"/>
        <v>-2.2224104988196131E-2</v>
      </c>
      <c r="W41" s="23">
        <f t="shared" si="33"/>
        <v>594163.42812499998</v>
      </c>
      <c r="X41" s="23">
        <f t="shared" si="34"/>
        <v>625435.1875</v>
      </c>
      <c r="Y41" s="24">
        <f>95</f>
        <v>95</v>
      </c>
      <c r="Z41" s="25">
        <f t="shared" si="35"/>
        <v>-2.2224104988196131E-2</v>
      </c>
      <c r="AA41" s="23">
        <f t="shared" si="36"/>
        <v>594163.42812499998</v>
      </c>
      <c r="AB41" s="23">
        <f t="shared" si="37"/>
        <v>625435.1875</v>
      </c>
      <c r="AC41" s="24">
        <f>95</f>
        <v>95</v>
      </c>
      <c r="AD41" s="25">
        <f t="shared" si="38"/>
        <v>-2.2224104988196131E-2</v>
      </c>
      <c r="AE41" s="3"/>
      <c r="AF41" s="27"/>
    </row>
    <row r="42" spans="1:32" s="17" customFormat="1" ht="19.5" customHeight="1" x14ac:dyDescent="0.35">
      <c r="A42" s="4"/>
      <c r="B42" s="4"/>
      <c r="C42" s="4"/>
      <c r="D42" s="4"/>
      <c r="E42" s="20"/>
      <c r="F42" s="21" t="s">
        <v>25</v>
      </c>
      <c r="G42" s="22">
        <v>2025</v>
      </c>
      <c r="H42" s="23">
        <f>'Spectrum Inputs'!C119</f>
        <v>318635.75</v>
      </c>
      <c r="I42" s="23">
        <f>'Spectrum Inputs'!B119</f>
        <v>339406.9375</v>
      </c>
      <c r="J42" s="24">
        <f t="shared" si="23"/>
        <v>93.880152346620775</v>
      </c>
      <c r="K42" s="23">
        <f t="shared" si="24"/>
        <v>322436.59062500001</v>
      </c>
      <c r="L42" s="23">
        <f t="shared" si="25"/>
        <v>339406.9375</v>
      </c>
      <c r="M42" s="24">
        <f>95</f>
        <v>95</v>
      </c>
      <c r="N42" s="25">
        <f t="shared" si="26"/>
        <v>1.1928481424322417E-2</v>
      </c>
      <c r="O42" s="23">
        <f t="shared" si="27"/>
        <v>322436.59062500001</v>
      </c>
      <c r="P42" s="23">
        <f t="shared" si="28"/>
        <v>339406.9375</v>
      </c>
      <c r="Q42" s="24">
        <f>95</f>
        <v>95</v>
      </c>
      <c r="R42" s="25">
        <f t="shared" si="29"/>
        <v>1.1928481424322417E-2</v>
      </c>
      <c r="S42" s="23">
        <f t="shared" si="30"/>
        <v>322436.59062500001</v>
      </c>
      <c r="T42" s="23">
        <f t="shared" si="31"/>
        <v>339406.9375</v>
      </c>
      <c r="U42" s="24">
        <f>95</f>
        <v>95</v>
      </c>
      <c r="V42" s="25">
        <f t="shared" si="32"/>
        <v>1.1928481424322417E-2</v>
      </c>
      <c r="W42" s="23">
        <f t="shared" si="33"/>
        <v>322436.59062500001</v>
      </c>
      <c r="X42" s="23">
        <f t="shared" si="34"/>
        <v>339406.9375</v>
      </c>
      <c r="Y42" s="24">
        <f>95</f>
        <v>95</v>
      </c>
      <c r="Z42" s="25">
        <f t="shared" si="35"/>
        <v>1.1928481424322417E-2</v>
      </c>
      <c r="AA42" s="23">
        <f t="shared" si="36"/>
        <v>322436.59062500001</v>
      </c>
      <c r="AB42" s="23">
        <f t="shared" si="37"/>
        <v>339406.9375</v>
      </c>
      <c r="AC42" s="24">
        <f>95</f>
        <v>95</v>
      </c>
      <c r="AD42" s="25">
        <f t="shared" si="38"/>
        <v>1.1928481424322417E-2</v>
      </c>
      <c r="AE42" s="3"/>
      <c r="AF42" s="27"/>
    </row>
    <row r="43" spans="1:32" s="17" customFormat="1" ht="19.5" customHeight="1" x14ac:dyDescent="0.35">
      <c r="A43" s="2" t="s">
        <v>58</v>
      </c>
      <c r="B43" s="1" t="s">
        <v>64</v>
      </c>
      <c r="C43" s="1" t="s">
        <v>65</v>
      </c>
      <c r="D43" s="1" t="s">
        <v>66</v>
      </c>
      <c r="E43" s="31" t="s">
        <v>67</v>
      </c>
      <c r="F43" s="32" t="s">
        <v>19</v>
      </c>
      <c r="G43" s="33">
        <v>2025</v>
      </c>
      <c r="H43" s="34">
        <f>'Spectrum Inputs'!E116</f>
        <v>862058.5625</v>
      </c>
      <c r="I43" s="34">
        <f>'Spectrum Inputs'!D116</f>
        <v>896938.375</v>
      </c>
      <c r="J43" s="38">
        <f t="shared" si="23"/>
        <v>96.111236460364395</v>
      </c>
      <c r="K43" s="34">
        <f t="shared" si="24"/>
        <v>852091.45624999993</v>
      </c>
      <c r="L43" s="34">
        <f t="shared" si="25"/>
        <v>896938.375</v>
      </c>
      <c r="M43" s="38">
        <f>95</f>
        <v>95</v>
      </c>
      <c r="N43" s="36">
        <f t="shared" si="26"/>
        <v>-1.1561982774227044E-2</v>
      </c>
      <c r="O43" s="34">
        <f t="shared" si="27"/>
        <v>852091.45624999993</v>
      </c>
      <c r="P43" s="34">
        <f t="shared" si="28"/>
        <v>896938.375</v>
      </c>
      <c r="Q43" s="38">
        <f>95</f>
        <v>95</v>
      </c>
      <c r="R43" s="36">
        <f t="shared" si="29"/>
        <v>-1.1561982774227044E-2</v>
      </c>
      <c r="S43" s="34">
        <f t="shared" si="30"/>
        <v>852091.45624999993</v>
      </c>
      <c r="T43" s="34">
        <f t="shared" si="31"/>
        <v>896938.375</v>
      </c>
      <c r="U43" s="38">
        <f>95</f>
        <v>95</v>
      </c>
      <c r="V43" s="36">
        <f t="shared" si="32"/>
        <v>-1.1561982774227044E-2</v>
      </c>
      <c r="W43" s="34">
        <f t="shared" si="33"/>
        <v>852091.45624999993</v>
      </c>
      <c r="X43" s="34">
        <f t="shared" si="34"/>
        <v>896938.375</v>
      </c>
      <c r="Y43" s="38">
        <f>95</f>
        <v>95</v>
      </c>
      <c r="Z43" s="36">
        <f t="shared" si="35"/>
        <v>-1.1561982774227044E-2</v>
      </c>
      <c r="AA43" s="34">
        <f t="shared" si="36"/>
        <v>852091.45624999993</v>
      </c>
      <c r="AB43" s="34">
        <f t="shared" si="37"/>
        <v>896938.375</v>
      </c>
      <c r="AC43" s="38">
        <f>95</f>
        <v>95</v>
      </c>
      <c r="AD43" s="36">
        <f t="shared" si="38"/>
        <v>-1.1561982774227044E-2</v>
      </c>
      <c r="AE43" s="30" t="s">
        <v>68</v>
      </c>
      <c r="AF43" s="27"/>
    </row>
    <row r="44" spans="1:32" s="17" customFormat="1" ht="19.5" customHeight="1" x14ac:dyDescent="0.35">
      <c r="A44" s="2"/>
      <c r="B44" s="2"/>
      <c r="C44" s="2"/>
      <c r="D44" s="2"/>
      <c r="E44" s="31"/>
      <c r="F44" s="32" t="s">
        <v>46</v>
      </c>
      <c r="G44" s="33">
        <v>2025</v>
      </c>
      <c r="H44" s="34">
        <f>'Spectrum Inputs'!E118</f>
        <v>24563.070309999999</v>
      </c>
      <c r="I44" s="34">
        <f>'Spectrum Inputs'!D118</f>
        <v>28195</v>
      </c>
      <c r="J44" s="38">
        <f t="shared" si="23"/>
        <v>87.118532754034405</v>
      </c>
      <c r="K44" s="34">
        <f t="shared" si="24"/>
        <v>24725.556247999997</v>
      </c>
      <c r="L44" s="34">
        <f t="shared" si="25"/>
        <v>28195</v>
      </c>
      <c r="M44" s="38">
        <f>IFERROR(J44+(90-J44)*1/5,"")</f>
        <v>87.694826203227521</v>
      </c>
      <c r="N44" s="36">
        <f t="shared" si="26"/>
        <v>6.6150499896524993E-3</v>
      </c>
      <c r="O44" s="34">
        <f t="shared" si="27"/>
        <v>24888.042185999999</v>
      </c>
      <c r="P44" s="34">
        <f t="shared" si="28"/>
        <v>28195</v>
      </c>
      <c r="Q44" s="38">
        <f>IFERROR(J44+(90-J44)*2/5,"")</f>
        <v>88.271119652420637</v>
      </c>
      <c r="R44" s="36">
        <f t="shared" si="29"/>
        <v>1.3230099979304999E-2</v>
      </c>
      <c r="S44" s="34">
        <f t="shared" si="30"/>
        <v>25050.528124000004</v>
      </c>
      <c r="T44" s="34">
        <f t="shared" si="31"/>
        <v>28195</v>
      </c>
      <c r="U44" s="38">
        <f>IFERROR(J44+(90-J44)*3/5,"")</f>
        <v>88.847413101613768</v>
      </c>
      <c r="V44" s="36">
        <f t="shared" si="32"/>
        <v>1.984514996895766E-2</v>
      </c>
      <c r="W44" s="34">
        <f t="shared" si="33"/>
        <v>25213.014061999998</v>
      </c>
      <c r="X44" s="34">
        <f t="shared" si="34"/>
        <v>28195</v>
      </c>
      <c r="Y44" s="38">
        <f>IFERROR(J44+(90-J44)*4/5,"")</f>
        <v>89.423706550806884</v>
      </c>
      <c r="Z44" s="36">
        <f t="shared" si="35"/>
        <v>2.646019995861016E-2</v>
      </c>
      <c r="AA44" s="34">
        <f t="shared" si="36"/>
        <v>25375.5</v>
      </c>
      <c r="AB44" s="34">
        <f t="shared" si="37"/>
        <v>28195</v>
      </c>
      <c r="AC44" s="38">
        <f>IFERROR(J44+(90-J44)*5/5,"")</f>
        <v>90</v>
      </c>
      <c r="AD44" s="36">
        <f t="shared" si="38"/>
        <v>3.3075249948262657E-2</v>
      </c>
      <c r="AE44" s="30" t="s">
        <v>69</v>
      </c>
      <c r="AF44" s="27"/>
    </row>
    <row r="45" spans="1:32" s="17" customFormat="1" ht="19.5" customHeight="1" x14ac:dyDescent="0.35">
      <c r="A45" s="2"/>
      <c r="B45" s="2"/>
      <c r="C45" s="2"/>
      <c r="D45" s="2"/>
      <c r="E45" s="31"/>
      <c r="F45" s="32" t="s">
        <v>23</v>
      </c>
      <c r="G45" s="33">
        <v>2025</v>
      </c>
      <c r="H45" s="34">
        <f>'Spectrum Inputs'!E117</f>
        <v>837495.5</v>
      </c>
      <c r="I45" s="34">
        <f>'Spectrum Inputs'!D117</f>
        <v>868743.375</v>
      </c>
      <c r="J45" s="38">
        <f t="shared" si="23"/>
        <v>96.403094872522061</v>
      </c>
      <c r="K45" s="34">
        <f t="shared" si="24"/>
        <v>825306.20624999993</v>
      </c>
      <c r="L45" s="34">
        <f t="shared" si="25"/>
        <v>868743.375</v>
      </c>
      <c r="M45" s="38">
        <f>95</f>
        <v>95</v>
      </c>
      <c r="N45" s="36">
        <f t="shared" si="26"/>
        <v>-1.4554458800077254E-2</v>
      </c>
      <c r="O45" s="34">
        <f t="shared" si="27"/>
        <v>825306.20624999993</v>
      </c>
      <c r="P45" s="34">
        <f t="shared" si="28"/>
        <v>868743.375</v>
      </c>
      <c r="Q45" s="38">
        <f>95</f>
        <v>95</v>
      </c>
      <c r="R45" s="36">
        <f t="shared" si="29"/>
        <v>-1.4554458800077254E-2</v>
      </c>
      <c r="S45" s="34">
        <f t="shared" si="30"/>
        <v>825306.20624999993</v>
      </c>
      <c r="T45" s="34">
        <f t="shared" si="31"/>
        <v>868743.375</v>
      </c>
      <c r="U45" s="38">
        <f>95</f>
        <v>95</v>
      </c>
      <c r="V45" s="36">
        <f t="shared" si="32"/>
        <v>-1.4554458800077254E-2</v>
      </c>
      <c r="W45" s="34">
        <f t="shared" si="33"/>
        <v>825306.20624999993</v>
      </c>
      <c r="X45" s="34">
        <f t="shared" si="34"/>
        <v>868743.375</v>
      </c>
      <c r="Y45" s="38">
        <f>95</f>
        <v>95</v>
      </c>
      <c r="Z45" s="36">
        <f t="shared" si="35"/>
        <v>-1.4554458800077254E-2</v>
      </c>
      <c r="AA45" s="34">
        <f t="shared" si="36"/>
        <v>825306.20624999993</v>
      </c>
      <c r="AB45" s="34">
        <f t="shared" si="37"/>
        <v>868743.375</v>
      </c>
      <c r="AC45" s="38">
        <f>95</f>
        <v>95</v>
      </c>
      <c r="AD45" s="36">
        <f t="shared" si="38"/>
        <v>-1.4554458800077254E-2</v>
      </c>
      <c r="AE45" s="1" t="s">
        <v>68</v>
      </c>
      <c r="AF45" s="27"/>
    </row>
    <row r="46" spans="1:32" s="17" customFormat="1" ht="19.5" customHeight="1" x14ac:dyDescent="0.35">
      <c r="A46" s="2"/>
      <c r="B46" s="2"/>
      <c r="C46" s="2"/>
      <c r="D46" s="2"/>
      <c r="E46" s="31"/>
      <c r="F46" s="32" t="s">
        <v>24</v>
      </c>
      <c r="G46" s="33">
        <v>2025</v>
      </c>
      <c r="H46" s="34">
        <f>'Spectrum Inputs'!E120</f>
        <v>552146</v>
      </c>
      <c r="I46" s="34">
        <f>'Spectrum Inputs'!D120</f>
        <v>572198.375</v>
      </c>
      <c r="J46" s="38">
        <f t="shared" si="23"/>
        <v>96.495555409432967</v>
      </c>
      <c r="K46" s="34">
        <f t="shared" si="24"/>
        <v>543588.45624999993</v>
      </c>
      <c r="L46" s="34">
        <f t="shared" si="25"/>
        <v>572198.375</v>
      </c>
      <c r="M46" s="38">
        <f>95</f>
        <v>95</v>
      </c>
      <c r="N46" s="36">
        <f t="shared" si="26"/>
        <v>-1.5498697355409681E-2</v>
      </c>
      <c r="O46" s="34">
        <f t="shared" si="27"/>
        <v>543588.45624999993</v>
      </c>
      <c r="P46" s="34">
        <f t="shared" si="28"/>
        <v>572198.375</v>
      </c>
      <c r="Q46" s="38">
        <f>95</f>
        <v>95</v>
      </c>
      <c r="R46" s="36">
        <f t="shared" si="29"/>
        <v>-1.5498697355409681E-2</v>
      </c>
      <c r="S46" s="34">
        <f t="shared" si="30"/>
        <v>543588.45624999993</v>
      </c>
      <c r="T46" s="34">
        <f t="shared" si="31"/>
        <v>572198.375</v>
      </c>
      <c r="U46" s="38">
        <f>95</f>
        <v>95</v>
      </c>
      <c r="V46" s="36">
        <f t="shared" si="32"/>
        <v>-1.5498697355409681E-2</v>
      </c>
      <c r="W46" s="34">
        <f t="shared" si="33"/>
        <v>543588.45624999993</v>
      </c>
      <c r="X46" s="34">
        <f t="shared" si="34"/>
        <v>572198.375</v>
      </c>
      <c r="Y46" s="38">
        <f>95</f>
        <v>95</v>
      </c>
      <c r="Z46" s="36">
        <f t="shared" si="35"/>
        <v>-1.5498697355409681E-2</v>
      </c>
      <c r="AA46" s="34">
        <f t="shared" si="36"/>
        <v>543588.45624999993</v>
      </c>
      <c r="AB46" s="34">
        <f t="shared" si="37"/>
        <v>572198.375</v>
      </c>
      <c r="AC46" s="38">
        <f>95</f>
        <v>95</v>
      </c>
      <c r="AD46" s="36">
        <f t="shared" si="38"/>
        <v>-1.5498697355409681E-2</v>
      </c>
      <c r="AE46" s="1"/>
      <c r="AF46" s="27"/>
    </row>
    <row r="47" spans="1:32" s="17" customFormat="1" ht="19.5" customHeight="1" x14ac:dyDescent="0.35">
      <c r="A47" s="2"/>
      <c r="B47" s="2"/>
      <c r="C47" s="2"/>
      <c r="D47" s="2"/>
      <c r="E47" s="31"/>
      <c r="F47" s="32" t="s">
        <v>25</v>
      </c>
      <c r="G47" s="33">
        <v>2025</v>
      </c>
      <c r="H47" s="34">
        <f>'Spectrum Inputs'!E119</f>
        <v>285349.5</v>
      </c>
      <c r="I47" s="34">
        <f>'Spectrum Inputs'!D119</f>
        <v>296544.96879999997</v>
      </c>
      <c r="J47" s="38">
        <f t="shared" si="23"/>
        <v>96.224697776764316</v>
      </c>
      <c r="K47" s="34">
        <f t="shared" si="24"/>
        <v>281717.72035999998</v>
      </c>
      <c r="L47" s="34">
        <f t="shared" si="25"/>
        <v>296544.96879999997</v>
      </c>
      <c r="M47" s="38">
        <f>95</f>
        <v>95</v>
      </c>
      <c r="N47" s="36">
        <f t="shared" si="26"/>
        <v>-1.272747854823658E-2</v>
      </c>
      <c r="O47" s="34">
        <f t="shared" si="27"/>
        <v>281717.72035999998</v>
      </c>
      <c r="P47" s="34">
        <f t="shared" si="28"/>
        <v>296544.96879999997</v>
      </c>
      <c r="Q47" s="38">
        <f>95</f>
        <v>95</v>
      </c>
      <c r="R47" s="36">
        <f t="shared" si="29"/>
        <v>-1.272747854823658E-2</v>
      </c>
      <c r="S47" s="34">
        <f t="shared" si="30"/>
        <v>281717.72035999998</v>
      </c>
      <c r="T47" s="34">
        <f t="shared" si="31"/>
        <v>296544.96879999997</v>
      </c>
      <c r="U47" s="38">
        <f>95</f>
        <v>95</v>
      </c>
      <c r="V47" s="36">
        <f t="shared" si="32"/>
        <v>-1.272747854823658E-2</v>
      </c>
      <c r="W47" s="34">
        <f t="shared" si="33"/>
        <v>281717.72035999998</v>
      </c>
      <c r="X47" s="34">
        <f t="shared" si="34"/>
        <v>296544.96879999997</v>
      </c>
      <c r="Y47" s="38">
        <f>95</f>
        <v>95</v>
      </c>
      <c r="Z47" s="36">
        <f t="shared" si="35"/>
        <v>-1.272747854823658E-2</v>
      </c>
      <c r="AA47" s="34">
        <f t="shared" si="36"/>
        <v>281717.72035999998</v>
      </c>
      <c r="AB47" s="34">
        <f t="shared" si="37"/>
        <v>296544.96879999997</v>
      </c>
      <c r="AC47" s="38">
        <f>95</f>
        <v>95</v>
      </c>
      <c r="AD47" s="36">
        <f t="shared" si="38"/>
        <v>-1.272747854823658E-2</v>
      </c>
      <c r="AE47" s="1"/>
      <c r="AF47" s="27"/>
    </row>
    <row r="48" spans="1:32" s="17" customFormat="1" ht="21.75" customHeight="1" x14ac:dyDescent="0.35">
      <c r="A48" s="4" t="s">
        <v>58</v>
      </c>
      <c r="B48" s="3" t="s">
        <v>70</v>
      </c>
      <c r="C48" s="3" t="s">
        <v>71</v>
      </c>
      <c r="D48" s="3" t="s">
        <v>72</v>
      </c>
      <c r="E48" s="20"/>
      <c r="F48" s="21" t="s">
        <v>73</v>
      </c>
      <c r="G48" s="22">
        <v>2024</v>
      </c>
      <c r="H48" s="23"/>
      <c r="I48" s="23"/>
      <c r="J48" s="24">
        <v>45</v>
      </c>
      <c r="K48" s="23"/>
      <c r="L48" s="23"/>
      <c r="M48" s="24">
        <v>52</v>
      </c>
      <c r="N48" s="25">
        <f t="shared" si="26"/>
        <v>0.15555555555555556</v>
      </c>
      <c r="O48" s="23"/>
      <c r="P48" s="23"/>
      <c r="Q48" s="24">
        <v>59</v>
      </c>
      <c r="R48" s="25">
        <f t="shared" si="29"/>
        <v>0.31111111111111112</v>
      </c>
      <c r="S48" s="23"/>
      <c r="T48" s="23"/>
      <c r="U48" s="24">
        <v>66</v>
      </c>
      <c r="V48" s="25">
        <f t="shared" si="32"/>
        <v>0.46666666666666667</v>
      </c>
      <c r="W48" s="23"/>
      <c r="X48" s="23"/>
      <c r="Y48" s="24">
        <v>73</v>
      </c>
      <c r="Z48" s="25">
        <f t="shared" si="35"/>
        <v>0.62222222222222223</v>
      </c>
      <c r="AA48" s="23"/>
      <c r="AB48" s="23"/>
      <c r="AC48" s="24">
        <v>80</v>
      </c>
      <c r="AD48" s="25">
        <f t="shared" si="38"/>
        <v>0.77777777777777779</v>
      </c>
      <c r="AE48" s="3" t="s">
        <v>74</v>
      </c>
      <c r="AF48" s="27"/>
    </row>
    <row r="49" spans="1:32" s="17" customFormat="1" ht="21.75" customHeight="1" x14ac:dyDescent="0.35">
      <c r="A49" s="4"/>
      <c r="B49" s="4"/>
      <c r="C49" s="4"/>
      <c r="D49" s="4"/>
      <c r="E49" s="20"/>
      <c r="F49" s="21" t="s">
        <v>75</v>
      </c>
      <c r="G49" s="22">
        <v>2024</v>
      </c>
      <c r="H49" s="23"/>
      <c r="I49" s="23"/>
      <c r="J49" s="24">
        <v>74</v>
      </c>
      <c r="K49" s="23"/>
      <c r="L49" s="23"/>
      <c r="M49" s="24">
        <v>75.2</v>
      </c>
      <c r="N49" s="25">
        <f t="shared" si="26"/>
        <v>1.6216216216216255E-2</v>
      </c>
      <c r="O49" s="23"/>
      <c r="P49" s="23"/>
      <c r="Q49" s="24">
        <v>76.400000000000006</v>
      </c>
      <c r="R49" s="25">
        <f t="shared" si="29"/>
        <v>3.2432432432432511E-2</v>
      </c>
      <c r="S49" s="23"/>
      <c r="T49" s="23"/>
      <c r="U49" s="24">
        <v>77.599999999999994</v>
      </c>
      <c r="V49" s="25">
        <f t="shared" si="32"/>
        <v>4.8648648648648575E-2</v>
      </c>
      <c r="W49" s="23"/>
      <c r="X49" s="23"/>
      <c r="Y49" s="24">
        <v>78.8</v>
      </c>
      <c r="Z49" s="25">
        <f t="shared" si="35"/>
        <v>6.4864864864864827E-2</v>
      </c>
      <c r="AA49" s="23"/>
      <c r="AB49" s="23"/>
      <c r="AC49" s="24">
        <v>80</v>
      </c>
      <c r="AD49" s="25">
        <f t="shared" si="38"/>
        <v>8.1081081081081086E-2</v>
      </c>
      <c r="AE49" s="3"/>
      <c r="AF49" s="27"/>
    </row>
    <row r="50" spans="1:32" s="17" customFormat="1" ht="21.75" customHeight="1" x14ac:dyDescent="0.35">
      <c r="A50" s="4"/>
      <c r="B50" s="4"/>
      <c r="C50" s="4"/>
      <c r="D50" s="4"/>
      <c r="E50" s="20" t="s">
        <v>76</v>
      </c>
      <c r="F50" s="21" t="s">
        <v>77</v>
      </c>
      <c r="G50" s="22">
        <v>2020</v>
      </c>
      <c r="H50" s="23"/>
      <c r="I50" s="23"/>
      <c r="J50" s="24">
        <v>49</v>
      </c>
      <c r="K50" s="23"/>
      <c r="L50" s="23"/>
      <c r="M50" s="24">
        <v>55.2</v>
      </c>
      <c r="N50" s="25">
        <f t="shared" si="26"/>
        <v>0.12653061224489801</v>
      </c>
      <c r="O50" s="23"/>
      <c r="P50" s="23"/>
      <c r="Q50" s="24">
        <v>61.4</v>
      </c>
      <c r="R50" s="25">
        <f t="shared" si="29"/>
        <v>0.2530612244897959</v>
      </c>
      <c r="S50" s="23"/>
      <c r="T50" s="23"/>
      <c r="U50" s="24">
        <v>67.599999999999994</v>
      </c>
      <c r="V50" s="25">
        <f t="shared" si="32"/>
        <v>0.37959183673469377</v>
      </c>
      <c r="W50" s="23"/>
      <c r="X50" s="23"/>
      <c r="Y50" s="24">
        <v>73.8</v>
      </c>
      <c r="Z50" s="25">
        <f t="shared" si="35"/>
        <v>0.5061224489795918</v>
      </c>
      <c r="AA50" s="23"/>
      <c r="AB50" s="23"/>
      <c r="AC50" s="24">
        <v>80</v>
      </c>
      <c r="AD50" s="25">
        <f t="shared" si="38"/>
        <v>0.63265306122448983</v>
      </c>
      <c r="AE50" s="3"/>
      <c r="AF50" s="27"/>
    </row>
    <row r="51" spans="1:32" s="17" customFormat="1" ht="21.75" customHeight="1" x14ac:dyDescent="0.35">
      <c r="A51" s="4"/>
      <c r="B51" s="4"/>
      <c r="C51" s="4"/>
      <c r="D51" s="4"/>
      <c r="E51" s="20" t="s">
        <v>78</v>
      </c>
      <c r="F51" s="21" t="s">
        <v>79</v>
      </c>
      <c r="G51" s="22">
        <v>2020</v>
      </c>
      <c r="H51" s="23"/>
      <c r="I51" s="23"/>
      <c r="J51" s="24">
        <v>64</v>
      </c>
      <c r="K51" s="23"/>
      <c r="L51" s="23"/>
      <c r="M51" s="24">
        <v>67.2</v>
      </c>
      <c r="N51" s="25">
        <f t="shared" si="26"/>
        <v>5.0000000000000044E-2</v>
      </c>
      <c r="O51" s="23"/>
      <c r="P51" s="23"/>
      <c r="Q51" s="24">
        <v>70.400000000000006</v>
      </c>
      <c r="R51" s="25">
        <f t="shared" si="29"/>
        <v>0.10000000000000009</v>
      </c>
      <c r="S51" s="23"/>
      <c r="T51" s="23"/>
      <c r="U51" s="24">
        <v>73.599999999999994</v>
      </c>
      <c r="V51" s="25">
        <f t="shared" si="32"/>
        <v>0.14999999999999991</v>
      </c>
      <c r="W51" s="23"/>
      <c r="X51" s="23"/>
      <c r="Y51" s="24">
        <v>76.8</v>
      </c>
      <c r="Z51" s="25">
        <f t="shared" si="35"/>
        <v>0.19999999999999996</v>
      </c>
      <c r="AA51" s="23"/>
      <c r="AB51" s="23"/>
      <c r="AC51" s="24">
        <v>80</v>
      </c>
      <c r="AD51" s="25">
        <f t="shared" si="38"/>
        <v>0.25</v>
      </c>
      <c r="AE51" s="3"/>
      <c r="AF51" s="27"/>
    </row>
    <row r="52" spans="1:32" s="17" customFormat="1" ht="21.75" customHeight="1" x14ac:dyDescent="0.35">
      <c r="A52" s="4"/>
      <c r="B52" s="4"/>
      <c r="C52" s="4"/>
      <c r="D52" s="4"/>
      <c r="E52" s="20" t="s">
        <v>80</v>
      </c>
      <c r="F52" s="21" t="s">
        <v>31</v>
      </c>
      <c r="G52" s="22">
        <v>2024</v>
      </c>
      <c r="H52" s="23"/>
      <c r="I52" s="23"/>
      <c r="J52" s="24">
        <v>51.3</v>
      </c>
      <c r="K52" s="23"/>
      <c r="L52" s="23"/>
      <c r="M52" s="24">
        <v>59</v>
      </c>
      <c r="N52" s="25">
        <f t="shared" si="26"/>
        <v>0.15009746588693965</v>
      </c>
      <c r="O52" s="23"/>
      <c r="P52" s="23"/>
      <c r="Q52" s="24">
        <v>66.8</v>
      </c>
      <c r="R52" s="25">
        <f t="shared" si="29"/>
        <v>0.3021442495126706</v>
      </c>
      <c r="S52" s="23"/>
      <c r="T52" s="23"/>
      <c r="U52" s="24">
        <v>74.5</v>
      </c>
      <c r="V52" s="25">
        <f t="shared" si="32"/>
        <v>0.45224171539961022</v>
      </c>
      <c r="W52" s="23"/>
      <c r="X52" s="23"/>
      <c r="Y52" s="24">
        <v>82.3</v>
      </c>
      <c r="Z52" s="25">
        <f t="shared" si="35"/>
        <v>0.60428849902534121</v>
      </c>
      <c r="AA52" s="23"/>
      <c r="AB52" s="23"/>
      <c r="AC52" s="24">
        <v>90</v>
      </c>
      <c r="AD52" s="25">
        <f t="shared" si="38"/>
        <v>0.75438596491228083</v>
      </c>
      <c r="AE52" s="3"/>
      <c r="AF52" s="27"/>
    </row>
    <row r="53" spans="1:32" s="17" customFormat="1" ht="21.75" customHeight="1" x14ac:dyDescent="0.35">
      <c r="A53" s="4"/>
      <c r="B53" s="4"/>
      <c r="C53" s="4"/>
      <c r="D53" s="4"/>
      <c r="E53" s="20" t="s">
        <v>81</v>
      </c>
      <c r="F53" s="21" t="s">
        <v>34</v>
      </c>
      <c r="G53" s="22">
        <v>2024</v>
      </c>
      <c r="H53" s="23"/>
      <c r="I53" s="23"/>
      <c r="J53" s="24">
        <v>73</v>
      </c>
      <c r="K53" s="23"/>
      <c r="L53" s="23"/>
      <c r="M53" s="24">
        <v>76.400000000000006</v>
      </c>
      <c r="N53" s="25">
        <f t="shared" si="26"/>
        <v>4.6575342465753504E-2</v>
      </c>
      <c r="O53" s="23"/>
      <c r="P53" s="23"/>
      <c r="Q53" s="24">
        <v>79.8</v>
      </c>
      <c r="R53" s="25">
        <f t="shared" si="29"/>
        <v>9.3150684931506814E-2</v>
      </c>
      <c r="S53" s="23"/>
      <c r="T53" s="23"/>
      <c r="U53" s="24">
        <v>83.2</v>
      </c>
      <c r="V53" s="25">
        <f t="shared" si="32"/>
        <v>0.13972602739726031</v>
      </c>
      <c r="W53" s="23"/>
      <c r="X53" s="23"/>
      <c r="Y53" s="24">
        <v>86.6</v>
      </c>
      <c r="Z53" s="25">
        <f t="shared" si="35"/>
        <v>0.18630136986301363</v>
      </c>
      <c r="AA53" s="23"/>
      <c r="AB53" s="23"/>
      <c r="AC53" s="24">
        <v>90</v>
      </c>
      <c r="AD53" s="25">
        <f t="shared" si="38"/>
        <v>0.23287671232876711</v>
      </c>
      <c r="AE53" s="3"/>
      <c r="AF53" s="27"/>
    </row>
    <row r="54" spans="1:32" s="17" customFormat="1" ht="21.75" customHeight="1" x14ac:dyDescent="0.35">
      <c r="A54" s="4"/>
      <c r="B54" s="4"/>
      <c r="C54" s="4"/>
      <c r="D54" s="4"/>
      <c r="E54" s="20"/>
      <c r="F54" s="21" t="s">
        <v>40</v>
      </c>
      <c r="G54" s="22">
        <v>2024</v>
      </c>
      <c r="H54" s="23"/>
      <c r="I54" s="23"/>
      <c r="J54" s="24">
        <v>63.1</v>
      </c>
      <c r="K54" s="23"/>
      <c r="L54" s="23"/>
      <c r="M54" s="24">
        <v>68.5</v>
      </c>
      <c r="N54" s="25">
        <f t="shared" si="26"/>
        <v>8.5578446909667177E-2</v>
      </c>
      <c r="O54" s="23"/>
      <c r="P54" s="23"/>
      <c r="Q54" s="24">
        <v>73.900000000000006</v>
      </c>
      <c r="R54" s="25">
        <f t="shared" si="29"/>
        <v>0.17115689381933447</v>
      </c>
      <c r="S54" s="23"/>
      <c r="T54" s="23"/>
      <c r="U54" s="24">
        <v>79.2</v>
      </c>
      <c r="V54" s="25">
        <f t="shared" si="32"/>
        <v>0.25515055467511888</v>
      </c>
      <c r="W54" s="23"/>
      <c r="X54" s="23"/>
      <c r="Y54" s="24">
        <v>84.6</v>
      </c>
      <c r="Z54" s="25">
        <f t="shared" si="35"/>
        <v>0.34072900158478592</v>
      </c>
      <c r="AA54" s="23"/>
      <c r="AB54" s="23"/>
      <c r="AC54" s="24">
        <v>90</v>
      </c>
      <c r="AD54" s="25">
        <f t="shared" si="38"/>
        <v>0.42630744849445323</v>
      </c>
      <c r="AE54" s="3"/>
      <c r="AF54" s="27"/>
    </row>
    <row r="55" spans="1:32" s="17" customFormat="1" ht="28.5" customHeight="1" x14ac:dyDescent="0.35">
      <c r="A55" s="2" t="s">
        <v>58</v>
      </c>
      <c r="B55" s="1" t="s">
        <v>82</v>
      </c>
      <c r="C55" s="1" t="s">
        <v>83</v>
      </c>
      <c r="D55" s="1" t="s">
        <v>84</v>
      </c>
      <c r="E55" s="31"/>
      <c r="F55" s="32" t="s">
        <v>77</v>
      </c>
      <c r="G55" s="33">
        <v>2024</v>
      </c>
      <c r="H55" s="34"/>
      <c r="I55" s="34"/>
      <c r="J55" s="38">
        <v>36</v>
      </c>
      <c r="K55" s="34"/>
      <c r="L55" s="34"/>
      <c r="M55" s="38">
        <v>42</v>
      </c>
      <c r="N55" s="36">
        <f t="shared" si="26"/>
        <v>0.16666666666666666</v>
      </c>
      <c r="O55" s="34"/>
      <c r="P55" s="34"/>
      <c r="Q55" s="38">
        <v>44</v>
      </c>
      <c r="R55" s="36">
        <f t="shared" si="29"/>
        <v>0.22222222222222221</v>
      </c>
      <c r="S55" s="34"/>
      <c r="T55" s="34"/>
      <c r="U55" s="38">
        <v>46</v>
      </c>
      <c r="V55" s="36">
        <f t="shared" si="32"/>
        <v>0.27777777777777779</v>
      </c>
      <c r="W55" s="34"/>
      <c r="X55" s="34"/>
      <c r="Y55" s="38">
        <v>48</v>
      </c>
      <c r="Z55" s="36">
        <f t="shared" si="35"/>
        <v>0.33333333333333331</v>
      </c>
      <c r="AA55" s="34"/>
      <c r="AB55" s="34"/>
      <c r="AC55" s="38">
        <v>50</v>
      </c>
      <c r="AD55" s="36">
        <f t="shared" si="38"/>
        <v>0.3888888888888889</v>
      </c>
      <c r="AE55" s="1" t="s">
        <v>85</v>
      </c>
      <c r="AF55" s="39"/>
    </row>
    <row r="56" spans="1:32" s="17" customFormat="1" ht="28.5" customHeight="1" x14ac:dyDescent="0.35">
      <c r="A56" s="2"/>
      <c r="B56" s="2"/>
      <c r="C56" s="2"/>
      <c r="D56" s="2"/>
      <c r="E56" s="31"/>
      <c r="F56" s="32" t="s">
        <v>79</v>
      </c>
      <c r="G56" s="33">
        <v>2024</v>
      </c>
      <c r="H56" s="34"/>
      <c r="I56" s="34"/>
      <c r="J56" s="38">
        <v>35</v>
      </c>
      <c r="K56" s="34"/>
      <c r="L56" s="34"/>
      <c r="M56" s="38">
        <v>41</v>
      </c>
      <c r="N56" s="36">
        <f t="shared" si="26"/>
        <v>0.17142857142857143</v>
      </c>
      <c r="O56" s="34"/>
      <c r="P56" s="34"/>
      <c r="Q56" s="38">
        <v>43</v>
      </c>
      <c r="R56" s="36">
        <f t="shared" si="29"/>
        <v>0.22857142857142856</v>
      </c>
      <c r="S56" s="34"/>
      <c r="T56" s="34"/>
      <c r="U56" s="38">
        <v>45</v>
      </c>
      <c r="V56" s="36">
        <f t="shared" si="32"/>
        <v>0.2857142857142857</v>
      </c>
      <c r="W56" s="34"/>
      <c r="X56" s="34"/>
      <c r="Y56" s="38">
        <v>47</v>
      </c>
      <c r="Z56" s="36">
        <f t="shared" si="35"/>
        <v>0.34285714285714286</v>
      </c>
      <c r="AA56" s="34"/>
      <c r="AB56" s="34"/>
      <c r="AC56" s="38">
        <v>49</v>
      </c>
      <c r="AD56" s="36">
        <f t="shared" si="38"/>
        <v>0.4</v>
      </c>
      <c r="AE56" s="1"/>
      <c r="AF56" s="27"/>
    </row>
    <row r="57" spans="1:32" s="17" customFormat="1" ht="96.75" customHeight="1" x14ac:dyDescent="0.3">
      <c r="A57" s="18" t="s">
        <v>58</v>
      </c>
      <c r="B57" s="19" t="s">
        <v>86</v>
      </c>
      <c r="C57" s="19" t="s">
        <v>87</v>
      </c>
      <c r="D57" s="19" t="s">
        <v>88</v>
      </c>
      <c r="E57" s="20"/>
      <c r="F57" s="21" t="s">
        <v>89</v>
      </c>
      <c r="G57" s="22">
        <v>2025</v>
      </c>
      <c r="H57" s="23">
        <v>27923</v>
      </c>
      <c r="I57" s="23">
        <v>42001</v>
      </c>
      <c r="J57" s="24">
        <f>IFERROR(H57/I57*100,"")</f>
        <v>66.481750434513458</v>
      </c>
      <c r="K57" s="23"/>
      <c r="L57" s="23"/>
      <c r="M57" s="24">
        <v>95</v>
      </c>
      <c r="N57" s="25">
        <f t="shared" si="26"/>
        <v>0.4289635784120619</v>
      </c>
      <c r="O57" s="23"/>
      <c r="P57" s="23"/>
      <c r="Q57" s="24">
        <v>95</v>
      </c>
      <c r="R57" s="25">
        <f t="shared" si="29"/>
        <v>0.4289635784120619</v>
      </c>
      <c r="S57" s="23"/>
      <c r="T57" s="23"/>
      <c r="U57" s="24">
        <v>95</v>
      </c>
      <c r="V57" s="25">
        <f t="shared" si="32"/>
        <v>0.4289635784120619</v>
      </c>
      <c r="W57" s="23"/>
      <c r="X57" s="23"/>
      <c r="Y57" s="24">
        <v>95</v>
      </c>
      <c r="Z57" s="25">
        <f t="shared" si="35"/>
        <v>0.4289635784120619</v>
      </c>
      <c r="AA57" s="23"/>
      <c r="AB57" s="23"/>
      <c r="AC57" s="24">
        <v>95</v>
      </c>
      <c r="AD57" s="25">
        <f t="shared" si="38"/>
        <v>0.4289635784120619</v>
      </c>
      <c r="AE57" s="19" t="s">
        <v>90</v>
      </c>
      <c r="AF57" s="40"/>
    </row>
    <row r="58" spans="1:32" s="17" customFormat="1" ht="38.25" customHeight="1" x14ac:dyDescent="0.35">
      <c r="A58" s="2" t="s">
        <v>91</v>
      </c>
      <c r="B58" s="1" t="s">
        <v>92</v>
      </c>
      <c r="C58" s="1" t="s">
        <v>93</v>
      </c>
      <c r="D58" s="1" t="s">
        <v>94</v>
      </c>
      <c r="E58" s="31"/>
      <c r="F58" s="32" t="s">
        <v>25</v>
      </c>
      <c r="G58" s="33">
        <v>2025</v>
      </c>
      <c r="H58" s="34">
        <f>'Spectrum Inputs'!B155</f>
        <v>60803885.5</v>
      </c>
      <c r="I58" s="34"/>
      <c r="J58" s="34"/>
      <c r="K58" s="34">
        <f>'Spectrum Inputs'!C155</f>
        <v>72929917.299999997</v>
      </c>
      <c r="L58" s="34"/>
      <c r="M58" s="34"/>
      <c r="N58" s="41" t="str">
        <f t="shared" ref="N58:N71" si="39">IFERROR((M58-J58)/J58,"")</f>
        <v/>
      </c>
      <c r="O58" s="34">
        <f>'Spectrum Inputs'!D155</f>
        <v>85055950.049999997</v>
      </c>
      <c r="P58" s="34"/>
      <c r="Q58" s="34"/>
      <c r="R58" s="41" t="str">
        <f t="shared" ref="R58:R71" si="40">IFERROR((Q58-J58)/J58,"")</f>
        <v/>
      </c>
      <c r="S58" s="34">
        <f>'Spectrum Inputs'!E155</f>
        <v>97181981.849999994</v>
      </c>
      <c r="T58" s="34"/>
      <c r="U58" s="34"/>
      <c r="V58" s="41" t="str">
        <f t="shared" ref="V58:V71" si="41">IFERROR((U58-J58)/J58,"")</f>
        <v/>
      </c>
      <c r="W58" s="34">
        <f>'Spectrum Inputs'!F155</f>
        <v>109308013.65000001</v>
      </c>
      <c r="X58" s="34"/>
      <c r="Y58" s="34"/>
      <c r="Z58" s="41" t="str">
        <f t="shared" ref="Z58:Z71" si="42">IFERROR((Y58-J58)/J58,"")</f>
        <v/>
      </c>
      <c r="AA58" s="34">
        <f>'Spectrum Inputs'!G155</f>
        <v>121434046.40000001</v>
      </c>
      <c r="AB58" s="34"/>
      <c r="AC58" s="34"/>
      <c r="AD58" s="36" t="str">
        <f t="shared" ref="AD58:AD71" si="43">IFERROR((AC58-J58)/J58,"")</f>
        <v/>
      </c>
      <c r="AE58" s="30" t="s">
        <v>95</v>
      </c>
      <c r="AF58" s="27"/>
    </row>
    <row r="59" spans="1:32" ht="38.25" customHeight="1" x14ac:dyDescent="0.3">
      <c r="A59" s="2"/>
      <c r="B59" s="2"/>
      <c r="C59" s="2"/>
      <c r="D59" s="2"/>
      <c r="E59" s="31"/>
      <c r="F59" s="32" t="s">
        <v>24</v>
      </c>
      <c r="G59" s="33">
        <v>2025</v>
      </c>
      <c r="H59" s="34">
        <f>'Spectrum Inputs'!B156</f>
        <v>3200204.5</v>
      </c>
      <c r="I59" s="34"/>
      <c r="J59" s="34"/>
      <c r="K59" s="34">
        <f>'Spectrum Inputs'!C156</f>
        <v>3838416.7</v>
      </c>
      <c r="L59" s="34"/>
      <c r="M59" s="34"/>
      <c r="N59" s="41" t="str">
        <f t="shared" si="39"/>
        <v/>
      </c>
      <c r="O59" s="34">
        <f>'Spectrum Inputs'!D156</f>
        <v>4476628.95</v>
      </c>
      <c r="P59" s="34"/>
      <c r="Q59" s="34"/>
      <c r="R59" s="41" t="str">
        <f t="shared" si="40"/>
        <v/>
      </c>
      <c r="S59" s="34">
        <f>'Spectrum Inputs'!E156</f>
        <v>5114841.1500000004</v>
      </c>
      <c r="T59" s="34"/>
      <c r="U59" s="34"/>
      <c r="V59" s="41" t="str">
        <f t="shared" si="41"/>
        <v/>
      </c>
      <c r="W59" s="34">
        <f>'Spectrum Inputs'!F156</f>
        <v>5753053.3499999996</v>
      </c>
      <c r="X59" s="34"/>
      <c r="Y59" s="34"/>
      <c r="Z59" s="41" t="str">
        <f t="shared" si="42"/>
        <v/>
      </c>
      <c r="AA59" s="34">
        <f>'Spectrum Inputs'!G156</f>
        <v>6391265.5999999996</v>
      </c>
      <c r="AB59" s="34"/>
      <c r="AC59" s="34"/>
      <c r="AD59" s="36" t="str">
        <f t="shared" si="43"/>
        <v/>
      </c>
      <c r="AE59" s="30" t="s">
        <v>96</v>
      </c>
      <c r="AF59" s="27"/>
    </row>
    <row r="60" spans="1:32" ht="135" customHeight="1" x14ac:dyDescent="0.3">
      <c r="A60" s="18" t="s">
        <v>91</v>
      </c>
      <c r="B60" s="19" t="s">
        <v>97</v>
      </c>
      <c r="C60" s="19" t="s">
        <v>98</v>
      </c>
      <c r="D60" s="19" t="s">
        <v>99</v>
      </c>
      <c r="E60" s="20"/>
      <c r="F60" s="21" t="s">
        <v>25</v>
      </c>
      <c r="G60" s="22">
        <v>2025</v>
      </c>
      <c r="H60" s="23">
        <v>46577</v>
      </c>
      <c r="I60" s="23"/>
      <c r="J60" s="23">
        <f>H60</f>
        <v>46577</v>
      </c>
      <c r="K60" s="23">
        <v>68742</v>
      </c>
      <c r="L60" s="23"/>
      <c r="M60" s="23">
        <f>K60</f>
        <v>68742</v>
      </c>
      <c r="N60" s="25">
        <f t="shared" si="39"/>
        <v>0.4758786525538356</v>
      </c>
      <c r="O60" s="23">
        <v>68742</v>
      </c>
      <c r="P60" s="23"/>
      <c r="Q60" s="23">
        <f>O60</f>
        <v>68742</v>
      </c>
      <c r="R60" s="25">
        <f t="shared" si="40"/>
        <v>0.4758786525538356</v>
      </c>
      <c r="S60" s="23">
        <v>68742</v>
      </c>
      <c r="T60" s="23"/>
      <c r="U60" s="23">
        <f>S60</f>
        <v>68742</v>
      </c>
      <c r="V60" s="25">
        <f t="shared" si="41"/>
        <v>0.4758786525538356</v>
      </c>
      <c r="W60" s="23">
        <v>68742</v>
      </c>
      <c r="X60" s="23"/>
      <c r="Y60" s="23">
        <f>W60</f>
        <v>68742</v>
      </c>
      <c r="Z60" s="25">
        <f t="shared" si="42"/>
        <v>0.4758786525538356</v>
      </c>
      <c r="AA60" s="23">
        <v>68742</v>
      </c>
      <c r="AB60" s="23"/>
      <c r="AC60" s="23">
        <f>AA60</f>
        <v>68742</v>
      </c>
      <c r="AD60" s="25">
        <f t="shared" si="43"/>
        <v>0.4758786525538356</v>
      </c>
      <c r="AE60" s="19" t="s">
        <v>100</v>
      </c>
      <c r="AF60" s="27"/>
    </row>
    <row r="61" spans="1:32" ht="19.5" customHeight="1" x14ac:dyDescent="0.3">
      <c r="A61" s="2" t="s">
        <v>91</v>
      </c>
      <c r="B61" s="1" t="s">
        <v>101</v>
      </c>
      <c r="C61" s="1" t="s">
        <v>102</v>
      </c>
      <c r="D61" s="1" t="s">
        <v>103</v>
      </c>
      <c r="E61" s="31" t="s">
        <v>104</v>
      </c>
      <c r="F61" s="32" t="s">
        <v>19</v>
      </c>
      <c r="G61" s="33">
        <v>2025</v>
      </c>
      <c r="H61" s="34">
        <f>'Spectrum Inputs'!B143</f>
        <v>33519</v>
      </c>
      <c r="I61" s="34"/>
      <c r="J61" s="34"/>
      <c r="K61" s="34">
        <f>'Spectrum Inputs'!C143</f>
        <v>45752</v>
      </c>
      <c r="L61" s="34"/>
      <c r="M61" s="34"/>
      <c r="N61" s="36" t="str">
        <f t="shared" si="39"/>
        <v/>
      </c>
      <c r="O61" s="34">
        <f>'Spectrum Inputs'!D143</f>
        <v>57985</v>
      </c>
      <c r="P61" s="34"/>
      <c r="Q61" s="34"/>
      <c r="R61" s="36" t="str">
        <f t="shared" si="40"/>
        <v/>
      </c>
      <c r="S61" s="34">
        <f>'Spectrum Inputs'!E143</f>
        <v>70218</v>
      </c>
      <c r="T61" s="34"/>
      <c r="U61" s="34"/>
      <c r="V61" s="36" t="str">
        <f t="shared" si="41"/>
        <v/>
      </c>
      <c r="W61" s="34">
        <f>'Spectrum Inputs'!F143</f>
        <v>77972</v>
      </c>
      <c r="X61" s="34"/>
      <c r="Y61" s="34"/>
      <c r="Z61" s="36" t="str">
        <f t="shared" si="42"/>
        <v/>
      </c>
      <c r="AA61" s="34">
        <f>'Spectrum Inputs'!G143</f>
        <v>84000</v>
      </c>
      <c r="AB61" s="34"/>
      <c r="AC61" s="34"/>
      <c r="AD61" s="36" t="str">
        <f t="shared" si="43"/>
        <v/>
      </c>
      <c r="AE61" s="1" t="s">
        <v>105</v>
      </c>
      <c r="AF61" s="27"/>
    </row>
    <row r="62" spans="1:32" ht="19.5" customHeight="1" x14ac:dyDescent="0.3">
      <c r="A62" s="2"/>
      <c r="B62" s="2"/>
      <c r="C62" s="2"/>
      <c r="D62" s="2"/>
      <c r="E62" s="31" t="s">
        <v>106</v>
      </c>
      <c r="F62" s="32" t="s">
        <v>107</v>
      </c>
      <c r="G62" s="33">
        <v>2025</v>
      </c>
      <c r="H62" s="34">
        <f>'Spectrum Inputs'!B135</f>
        <v>10056</v>
      </c>
      <c r="I62" s="34"/>
      <c r="J62" s="34"/>
      <c r="K62" s="34">
        <f>'Spectrum Inputs'!C135</f>
        <v>10575</v>
      </c>
      <c r="L62" s="34"/>
      <c r="M62" s="34"/>
      <c r="N62" s="36" t="str">
        <f t="shared" si="39"/>
        <v/>
      </c>
      <c r="O62" s="34">
        <f>'Spectrum Inputs'!D135</f>
        <v>11095</v>
      </c>
      <c r="P62" s="34"/>
      <c r="Q62" s="34"/>
      <c r="R62" s="36" t="str">
        <f t="shared" si="40"/>
        <v/>
      </c>
      <c r="S62" s="34">
        <f>'Spectrum Inputs'!E135</f>
        <v>11614</v>
      </c>
      <c r="T62" s="34"/>
      <c r="U62" s="34"/>
      <c r="V62" s="36" t="str">
        <f t="shared" si="41"/>
        <v/>
      </c>
      <c r="W62" s="34">
        <f>'Spectrum Inputs'!F135</f>
        <v>12134</v>
      </c>
      <c r="X62" s="34"/>
      <c r="Y62" s="34"/>
      <c r="Z62" s="36" t="str">
        <f t="shared" si="42"/>
        <v/>
      </c>
      <c r="AA62" s="34">
        <f>'Spectrum Inputs'!G135</f>
        <v>12653</v>
      </c>
      <c r="AB62" s="34"/>
      <c r="AC62" s="34"/>
      <c r="AD62" s="36" t="str">
        <f t="shared" si="43"/>
        <v/>
      </c>
      <c r="AE62" s="1"/>
      <c r="AF62" s="27"/>
    </row>
    <row r="63" spans="1:32" ht="19.5" customHeight="1" x14ac:dyDescent="0.3">
      <c r="A63" s="2"/>
      <c r="B63" s="2"/>
      <c r="C63" s="2"/>
      <c r="D63" s="2"/>
      <c r="E63" s="31" t="s">
        <v>108</v>
      </c>
      <c r="F63" s="32" t="s">
        <v>34</v>
      </c>
      <c r="G63" s="33">
        <v>2025</v>
      </c>
      <c r="H63" s="34">
        <f>'Spectrum Inputs'!B136</f>
        <v>2682</v>
      </c>
      <c r="I63" s="34"/>
      <c r="J63" s="34"/>
      <c r="K63" s="34">
        <f>'Spectrum Inputs'!C136</f>
        <v>5893</v>
      </c>
      <c r="L63" s="34"/>
      <c r="M63" s="34"/>
      <c r="N63" s="36" t="str">
        <f t="shared" si="39"/>
        <v/>
      </c>
      <c r="O63" s="34">
        <f>'Spectrum Inputs'!D136</f>
        <v>9105</v>
      </c>
      <c r="P63" s="34"/>
      <c r="Q63" s="34"/>
      <c r="R63" s="36" t="str">
        <f t="shared" si="40"/>
        <v/>
      </c>
      <c r="S63" s="34">
        <f>'Spectrum Inputs'!E136</f>
        <v>12316</v>
      </c>
      <c r="T63" s="34"/>
      <c r="U63" s="34"/>
      <c r="V63" s="36" t="str">
        <f t="shared" si="41"/>
        <v/>
      </c>
      <c r="W63" s="34">
        <f>'Spectrum Inputs'!F136</f>
        <v>12316</v>
      </c>
      <c r="X63" s="34"/>
      <c r="Y63" s="34"/>
      <c r="Z63" s="36" t="str">
        <f t="shared" si="42"/>
        <v/>
      </c>
      <c r="AA63" s="34">
        <f>'Spectrum Inputs'!G136</f>
        <v>12316</v>
      </c>
      <c r="AB63" s="34"/>
      <c r="AC63" s="34"/>
      <c r="AD63" s="36" t="str">
        <f t="shared" si="43"/>
        <v/>
      </c>
      <c r="AE63" s="1"/>
      <c r="AF63" s="27"/>
    </row>
    <row r="64" spans="1:32" ht="19.5" customHeight="1" x14ac:dyDescent="0.3">
      <c r="A64" s="2"/>
      <c r="B64" s="2"/>
      <c r="C64" s="2"/>
      <c r="D64" s="2"/>
      <c r="E64" s="31" t="s">
        <v>109</v>
      </c>
      <c r="F64" s="32" t="s">
        <v>31</v>
      </c>
      <c r="G64" s="33">
        <v>2025</v>
      </c>
      <c r="H64" s="34">
        <f>'Spectrum Inputs'!B137</f>
        <v>5028</v>
      </c>
      <c r="I64" s="34"/>
      <c r="J64" s="34"/>
      <c r="K64" s="34">
        <f>'Spectrum Inputs'!C137</f>
        <v>6295</v>
      </c>
      <c r="L64" s="34"/>
      <c r="M64" s="34"/>
      <c r="N64" s="36" t="str">
        <f t="shared" si="39"/>
        <v/>
      </c>
      <c r="O64" s="34">
        <f>'Spectrum Inputs'!D137</f>
        <v>7563</v>
      </c>
      <c r="P64" s="34"/>
      <c r="Q64" s="34"/>
      <c r="R64" s="36" t="str">
        <f t="shared" si="40"/>
        <v/>
      </c>
      <c r="S64" s="34">
        <f>'Spectrum Inputs'!E137</f>
        <v>8831</v>
      </c>
      <c r="T64" s="34"/>
      <c r="U64" s="34"/>
      <c r="V64" s="36" t="str">
        <f t="shared" si="41"/>
        <v/>
      </c>
      <c r="W64" s="34">
        <f>'Spectrum Inputs'!F137</f>
        <v>8831</v>
      </c>
      <c r="X64" s="34"/>
      <c r="Y64" s="34"/>
      <c r="Z64" s="36" t="str">
        <f t="shared" si="42"/>
        <v/>
      </c>
      <c r="AA64" s="34">
        <f>'Spectrum Inputs'!G137</f>
        <v>8831</v>
      </c>
      <c r="AB64" s="34"/>
      <c r="AC64" s="34"/>
      <c r="AD64" s="36" t="str">
        <f t="shared" si="43"/>
        <v/>
      </c>
      <c r="AE64" s="1"/>
      <c r="AF64" s="27"/>
    </row>
    <row r="65" spans="1:32" ht="19.5" customHeight="1" x14ac:dyDescent="0.3">
      <c r="A65" s="2"/>
      <c r="B65" s="2"/>
      <c r="C65" s="2"/>
      <c r="D65" s="2"/>
      <c r="E65" s="31" t="s">
        <v>110</v>
      </c>
      <c r="F65" s="32" t="s">
        <v>40</v>
      </c>
      <c r="G65" s="33">
        <v>2025</v>
      </c>
      <c r="H65" s="34">
        <f>'Spectrum Inputs'!B138</f>
        <v>1006</v>
      </c>
      <c r="I65" s="34"/>
      <c r="J65" s="34"/>
      <c r="K65" s="34">
        <f>'Spectrum Inputs'!C138</f>
        <v>1976</v>
      </c>
      <c r="L65" s="34"/>
      <c r="M65" s="34"/>
      <c r="N65" s="36" t="str">
        <f t="shared" si="39"/>
        <v/>
      </c>
      <c r="O65" s="34">
        <f>'Spectrum Inputs'!D138</f>
        <v>2947</v>
      </c>
      <c r="P65" s="34"/>
      <c r="Q65" s="34"/>
      <c r="R65" s="36" t="str">
        <f t="shared" si="40"/>
        <v/>
      </c>
      <c r="S65" s="34">
        <f>'Spectrum Inputs'!E138</f>
        <v>3917</v>
      </c>
      <c r="T65" s="34"/>
      <c r="U65" s="34"/>
      <c r="V65" s="36" t="str">
        <f t="shared" si="41"/>
        <v/>
      </c>
      <c r="W65" s="34">
        <f>'Spectrum Inputs'!F138</f>
        <v>4887</v>
      </c>
      <c r="X65" s="34"/>
      <c r="Y65" s="34"/>
      <c r="Z65" s="36" t="str">
        <f t="shared" si="42"/>
        <v/>
      </c>
      <c r="AA65" s="34">
        <f>'Spectrum Inputs'!G138</f>
        <v>4887</v>
      </c>
      <c r="AB65" s="34"/>
      <c r="AC65" s="34"/>
      <c r="AD65" s="36" t="str">
        <f t="shared" si="43"/>
        <v/>
      </c>
      <c r="AE65" s="1"/>
      <c r="AF65" s="27"/>
    </row>
    <row r="66" spans="1:32" ht="19.5" customHeight="1" x14ac:dyDescent="0.3">
      <c r="A66" s="2"/>
      <c r="B66" s="2"/>
      <c r="C66" s="2"/>
      <c r="D66" s="2"/>
      <c r="E66" s="31"/>
      <c r="F66" s="32" t="s">
        <v>111</v>
      </c>
      <c r="G66" s="33">
        <v>2025</v>
      </c>
      <c r="H66" s="34">
        <f>'Spectrum Inputs'!B139</f>
        <v>6704</v>
      </c>
      <c r="I66" s="34"/>
      <c r="J66" s="34"/>
      <c r="K66" s="34">
        <f>'Spectrum Inputs'!C139</f>
        <v>7621</v>
      </c>
      <c r="L66" s="34"/>
      <c r="M66" s="34"/>
      <c r="N66" s="36" t="str">
        <f t="shared" si="39"/>
        <v/>
      </c>
      <c r="O66" s="34">
        <f>'Spectrum Inputs'!D139</f>
        <v>8539</v>
      </c>
      <c r="P66" s="34"/>
      <c r="Q66" s="34"/>
      <c r="R66" s="36" t="str">
        <f t="shared" si="40"/>
        <v/>
      </c>
      <c r="S66" s="34">
        <f>'Spectrum Inputs'!E139</f>
        <v>9456</v>
      </c>
      <c r="T66" s="34"/>
      <c r="U66" s="34"/>
      <c r="V66" s="36" t="str">
        <f t="shared" si="41"/>
        <v/>
      </c>
      <c r="W66" s="34">
        <f>'Spectrum Inputs'!F139</f>
        <v>10374</v>
      </c>
      <c r="X66" s="34"/>
      <c r="Y66" s="34"/>
      <c r="Z66" s="36" t="str">
        <f t="shared" si="42"/>
        <v/>
      </c>
      <c r="AA66" s="34">
        <f>'Spectrum Inputs'!G139</f>
        <v>11291</v>
      </c>
      <c r="AB66" s="34"/>
      <c r="AC66" s="34"/>
      <c r="AD66" s="36" t="str">
        <f t="shared" si="43"/>
        <v/>
      </c>
      <c r="AE66" s="1"/>
      <c r="AF66" s="27"/>
    </row>
    <row r="67" spans="1:32" ht="19.5" customHeight="1" x14ac:dyDescent="0.3">
      <c r="A67" s="2"/>
      <c r="B67" s="2"/>
      <c r="C67" s="2"/>
      <c r="D67" s="2"/>
      <c r="E67" s="31" t="s">
        <v>112</v>
      </c>
      <c r="F67" s="32" t="s">
        <v>37</v>
      </c>
      <c r="G67" s="33">
        <v>2025</v>
      </c>
      <c r="H67" s="34">
        <f>'Spectrum Inputs'!B140</f>
        <v>335</v>
      </c>
      <c r="I67" s="34"/>
      <c r="J67" s="34"/>
      <c r="K67" s="34">
        <f>'Spectrum Inputs'!C140</f>
        <v>1090</v>
      </c>
      <c r="L67" s="34"/>
      <c r="M67" s="34"/>
      <c r="N67" s="36" t="str">
        <f t="shared" si="39"/>
        <v/>
      </c>
      <c r="O67" s="34">
        <f>'Spectrum Inputs'!D140</f>
        <v>1845</v>
      </c>
      <c r="P67" s="34"/>
      <c r="Q67" s="34"/>
      <c r="R67" s="36" t="str">
        <f t="shared" si="40"/>
        <v/>
      </c>
      <c r="S67" s="34">
        <f>'Spectrum Inputs'!E140</f>
        <v>2600</v>
      </c>
      <c r="T67" s="34"/>
      <c r="U67" s="34"/>
      <c r="V67" s="36" t="str">
        <f t="shared" si="41"/>
        <v/>
      </c>
      <c r="W67" s="34">
        <f>'Spectrum Inputs'!F140</f>
        <v>3355</v>
      </c>
      <c r="X67" s="34"/>
      <c r="Y67" s="34"/>
      <c r="Z67" s="36" t="str">
        <f t="shared" si="42"/>
        <v/>
      </c>
      <c r="AA67" s="34">
        <f>'Spectrum Inputs'!G140</f>
        <v>3355</v>
      </c>
      <c r="AB67" s="34"/>
      <c r="AC67" s="34"/>
      <c r="AD67" s="36" t="str">
        <f t="shared" si="43"/>
        <v/>
      </c>
      <c r="AE67" s="1"/>
      <c r="AF67" s="27"/>
    </row>
    <row r="68" spans="1:32" ht="19.5" customHeight="1" x14ac:dyDescent="0.3">
      <c r="A68" s="2"/>
      <c r="B68" s="2"/>
      <c r="C68" s="2"/>
      <c r="D68" s="2"/>
      <c r="E68" s="31"/>
      <c r="F68" s="32" t="s">
        <v>113</v>
      </c>
      <c r="G68" s="33">
        <v>2025</v>
      </c>
      <c r="H68" s="34">
        <f>'Spectrum Inputs'!B141</f>
        <v>3687</v>
      </c>
      <c r="I68" s="34"/>
      <c r="J68" s="34"/>
      <c r="K68" s="34">
        <f>'Spectrum Inputs'!C141</f>
        <v>3878</v>
      </c>
      <c r="L68" s="34"/>
      <c r="M68" s="34"/>
      <c r="N68" s="36" t="str">
        <f t="shared" si="39"/>
        <v/>
      </c>
      <c r="O68" s="34">
        <f>'Spectrum Inputs'!D141</f>
        <v>4068</v>
      </c>
      <c r="P68" s="34"/>
      <c r="Q68" s="34"/>
      <c r="R68" s="36" t="str">
        <f t="shared" si="40"/>
        <v/>
      </c>
      <c r="S68" s="34">
        <f>'Spectrum Inputs'!E141</f>
        <v>4259</v>
      </c>
      <c r="T68" s="34"/>
      <c r="U68" s="34"/>
      <c r="V68" s="36" t="str">
        <f t="shared" si="41"/>
        <v/>
      </c>
      <c r="W68" s="34">
        <f>'Spectrum Inputs'!F141</f>
        <v>4449</v>
      </c>
      <c r="X68" s="34"/>
      <c r="Y68" s="34"/>
      <c r="Z68" s="36" t="str">
        <f t="shared" si="42"/>
        <v/>
      </c>
      <c r="AA68" s="34">
        <f>'Spectrum Inputs'!G141</f>
        <v>4640</v>
      </c>
      <c r="AB68" s="34"/>
      <c r="AC68" s="34"/>
      <c r="AD68" s="36" t="str">
        <f t="shared" si="43"/>
        <v/>
      </c>
      <c r="AE68" s="1"/>
      <c r="AF68" s="27"/>
    </row>
    <row r="69" spans="1:32" ht="19.5" customHeight="1" x14ac:dyDescent="0.3">
      <c r="A69" s="2"/>
      <c r="B69" s="2"/>
      <c r="C69" s="2"/>
      <c r="D69" s="2"/>
      <c r="E69" s="31"/>
      <c r="F69" s="32" t="s">
        <v>114</v>
      </c>
      <c r="G69" s="33">
        <v>2025</v>
      </c>
      <c r="H69" s="34">
        <f>'Spectrum Inputs'!B142</f>
        <v>4022</v>
      </c>
      <c r="I69" s="34"/>
      <c r="J69" s="34"/>
      <c r="K69" s="34">
        <f>'Spectrum Inputs'!C142</f>
        <v>8423</v>
      </c>
      <c r="L69" s="34"/>
      <c r="M69" s="34"/>
      <c r="N69" s="36" t="str">
        <f t="shared" si="39"/>
        <v/>
      </c>
      <c r="O69" s="34">
        <f>'Spectrum Inputs'!D142</f>
        <v>12824</v>
      </c>
      <c r="P69" s="34"/>
      <c r="Q69" s="34"/>
      <c r="R69" s="36" t="str">
        <f t="shared" si="40"/>
        <v/>
      </c>
      <c r="S69" s="34">
        <f>'Spectrum Inputs'!E142</f>
        <v>17225</v>
      </c>
      <c r="T69" s="34"/>
      <c r="U69" s="34"/>
      <c r="V69" s="36" t="str">
        <f t="shared" si="41"/>
        <v/>
      </c>
      <c r="W69" s="34">
        <f>'Spectrum Inputs'!F142</f>
        <v>21626</v>
      </c>
      <c r="X69" s="34"/>
      <c r="Y69" s="34"/>
      <c r="Z69" s="36" t="str">
        <f t="shared" si="42"/>
        <v/>
      </c>
      <c r="AA69" s="34">
        <f>'Spectrum Inputs'!G142</f>
        <v>26027</v>
      </c>
      <c r="AB69" s="34"/>
      <c r="AC69" s="34"/>
      <c r="AD69" s="36" t="str">
        <f t="shared" si="43"/>
        <v/>
      </c>
      <c r="AE69" s="1"/>
      <c r="AF69" s="27"/>
    </row>
    <row r="70" spans="1:32" ht="96.75" customHeight="1" x14ac:dyDescent="0.3">
      <c r="A70" s="18" t="s">
        <v>91</v>
      </c>
      <c r="B70" s="19" t="s">
        <v>115</v>
      </c>
      <c r="C70" s="19" t="s">
        <v>116</v>
      </c>
      <c r="D70" s="19" t="s">
        <v>117</v>
      </c>
      <c r="E70" s="20"/>
      <c r="F70" s="21" t="s">
        <v>19</v>
      </c>
      <c r="G70" s="22">
        <v>2025</v>
      </c>
      <c r="H70" s="23"/>
      <c r="I70" s="23"/>
      <c r="J70" s="24">
        <v>99</v>
      </c>
      <c r="K70" s="23"/>
      <c r="L70" s="23"/>
      <c r="M70" s="24">
        <v>99</v>
      </c>
      <c r="N70" s="25">
        <f t="shared" si="39"/>
        <v>0</v>
      </c>
      <c r="O70" s="23"/>
      <c r="P70" s="23"/>
      <c r="Q70" s="24">
        <v>99</v>
      </c>
      <c r="R70" s="25">
        <f t="shared" si="40"/>
        <v>0</v>
      </c>
      <c r="S70" s="23"/>
      <c r="T70" s="23"/>
      <c r="U70" s="24">
        <v>99</v>
      </c>
      <c r="V70" s="25">
        <f t="shared" si="41"/>
        <v>0</v>
      </c>
      <c r="W70" s="23"/>
      <c r="X70" s="23"/>
      <c r="Y70" s="24">
        <v>99</v>
      </c>
      <c r="Z70" s="25">
        <f t="shared" si="42"/>
        <v>0</v>
      </c>
      <c r="AA70" s="23"/>
      <c r="AB70" s="23"/>
      <c r="AC70" s="24">
        <v>99</v>
      </c>
      <c r="AD70" s="25">
        <f t="shared" si="43"/>
        <v>0</v>
      </c>
      <c r="AE70" s="19" t="s">
        <v>118</v>
      </c>
      <c r="AF70" s="27"/>
    </row>
    <row r="71" spans="1:32" ht="77.25" customHeight="1" x14ac:dyDescent="0.3">
      <c r="A71" s="29" t="s">
        <v>91</v>
      </c>
      <c r="B71" s="30" t="s">
        <v>119</v>
      </c>
      <c r="C71" s="30" t="s">
        <v>120</v>
      </c>
      <c r="D71" s="30" t="s">
        <v>121</v>
      </c>
      <c r="E71" s="31"/>
      <c r="F71" s="32" t="s">
        <v>56</v>
      </c>
      <c r="G71" s="33">
        <v>2022</v>
      </c>
      <c r="H71" s="34"/>
      <c r="I71" s="34"/>
      <c r="J71" s="38">
        <v>22</v>
      </c>
      <c r="K71" s="34"/>
      <c r="L71" s="34"/>
      <c r="M71" s="38">
        <v>26</v>
      </c>
      <c r="N71" s="36">
        <f t="shared" si="39"/>
        <v>0.18181818181818182</v>
      </c>
      <c r="O71" s="34"/>
      <c r="P71" s="34"/>
      <c r="Q71" s="38">
        <v>27</v>
      </c>
      <c r="R71" s="36">
        <f t="shared" si="40"/>
        <v>0.22727272727272727</v>
      </c>
      <c r="S71" s="34"/>
      <c r="T71" s="34"/>
      <c r="U71" s="38">
        <v>28</v>
      </c>
      <c r="V71" s="36">
        <f t="shared" si="41"/>
        <v>0.27272727272727271</v>
      </c>
      <c r="W71" s="34"/>
      <c r="X71" s="34"/>
      <c r="Y71" s="38">
        <v>29</v>
      </c>
      <c r="Z71" s="36">
        <f t="shared" si="42"/>
        <v>0.31818181818181818</v>
      </c>
      <c r="AA71" s="34"/>
      <c r="AB71" s="34"/>
      <c r="AC71" s="38">
        <v>30</v>
      </c>
      <c r="AD71" s="36">
        <f t="shared" si="43"/>
        <v>0.36363636363636365</v>
      </c>
      <c r="AE71" s="30" t="s">
        <v>122</v>
      </c>
      <c r="AF71" s="27"/>
    </row>
    <row r="72" spans="1:32" ht="19.5" customHeight="1" x14ac:dyDescent="0.3">
      <c r="A72" s="4" t="s">
        <v>123</v>
      </c>
      <c r="B72" s="3" t="s">
        <v>124</v>
      </c>
      <c r="C72" s="3" t="s">
        <v>125</v>
      </c>
      <c r="D72" s="3" t="s">
        <v>126</v>
      </c>
      <c r="E72" s="20" t="s">
        <v>127</v>
      </c>
      <c r="F72" s="21" t="s">
        <v>19</v>
      </c>
      <c r="G72" s="22">
        <v>2025</v>
      </c>
      <c r="H72" s="23">
        <f>'Spectrum Inputs'!B33</f>
        <v>896939</v>
      </c>
      <c r="I72" s="23">
        <f>'Spectrum Inputs'!B19</f>
        <v>1006960</v>
      </c>
      <c r="J72" s="24">
        <f t="shared" ref="J72:J78" si="44">IFERROR(H72/I72*100,"")</f>
        <v>89.073945340430612</v>
      </c>
      <c r="K72" s="23">
        <f>'Spectrum Inputs'!C33</f>
        <v>906216</v>
      </c>
      <c r="L72" s="23">
        <f>'Spectrum Inputs'!C19</f>
        <v>1000821</v>
      </c>
      <c r="M72" s="24">
        <f>IFERROR(K72/L72*100,"")</f>
        <v>90.547260698966141</v>
      </c>
      <c r="N72" s="25">
        <f t="shared" ref="N72:N78" si="45">IFERROR((M72-J72)/J72,"")</f>
        <v>1.6540362649309893E-2</v>
      </c>
      <c r="O72" s="23">
        <f>'Spectrum Inputs'!D33</f>
        <v>906955</v>
      </c>
      <c r="P72" s="23">
        <f>'Spectrum Inputs'!D19</f>
        <v>994527</v>
      </c>
      <c r="Q72" s="24">
        <f>IFERROR(O72/P72*100,"")</f>
        <v>91.194608090076983</v>
      </c>
      <c r="R72" s="25">
        <f t="shared" ref="R72:R78" si="46">IFERROR((Q72-J72)/J72,"")</f>
        <v>2.3807890641213164E-2</v>
      </c>
      <c r="S72" s="23">
        <f>'Spectrum Inputs'!E33</f>
        <v>907010</v>
      </c>
      <c r="T72" s="23">
        <f>'Spectrum Inputs'!E19</f>
        <v>988232</v>
      </c>
      <c r="U72" s="24">
        <f>IFERROR(S72/T72*100,"")</f>
        <v>91.7810797464563</v>
      </c>
      <c r="V72" s="25">
        <f t="shared" ref="V72:V78" si="47">IFERROR((U72-J72)/J72,"")</f>
        <v>3.0391989438430331E-2</v>
      </c>
      <c r="W72" s="23">
        <f>'Spectrum Inputs'!F33</f>
        <v>907654</v>
      </c>
      <c r="X72" s="23">
        <f>'Spectrum Inputs'!F19</f>
        <v>982367</v>
      </c>
      <c r="Y72" s="24">
        <f>IFERROR(W72/X72*100,"")</f>
        <v>92.394593873776302</v>
      </c>
      <c r="Z72" s="25">
        <f t="shared" ref="Z72:Z78" si="48">IFERROR((Y72-J72)/J72,"")</f>
        <v>3.7279683982274998E-2</v>
      </c>
      <c r="AA72" s="23">
        <f>'Spectrum Inputs'!G33</f>
        <v>908381</v>
      </c>
      <c r="AB72" s="23">
        <f>'Spectrum Inputs'!G19</f>
        <v>976493</v>
      </c>
      <c r="AC72" s="24">
        <f>IFERROR(AA72/AB72*100,"")</f>
        <v>93.02483479144243</v>
      </c>
      <c r="AD72" s="25">
        <f t="shared" ref="AD72:AD78" si="49">IFERROR((AC72-J72)/J72,"")</f>
        <v>4.4355163969800174E-2</v>
      </c>
      <c r="AE72" s="3" t="s">
        <v>128</v>
      </c>
      <c r="AF72" s="27"/>
    </row>
    <row r="73" spans="1:32" ht="19.5" customHeight="1" x14ac:dyDescent="0.3">
      <c r="A73" s="4"/>
      <c r="B73" s="4"/>
      <c r="C73" s="4"/>
      <c r="D73" s="4"/>
      <c r="E73" s="20" t="s">
        <v>129</v>
      </c>
      <c r="F73" s="21" t="s">
        <v>130</v>
      </c>
      <c r="G73" s="22">
        <v>2025</v>
      </c>
      <c r="H73" s="23">
        <f>'Spectrum Inputs'!B36</f>
        <v>868743</v>
      </c>
      <c r="I73" s="23">
        <f>'Spectrum Inputs'!B22</f>
        <v>964843</v>
      </c>
      <c r="J73" s="24">
        <f t="shared" si="44"/>
        <v>90.039830314362021</v>
      </c>
      <c r="K73" s="23">
        <f>'Spectrum Inputs'!C36</f>
        <v>877970</v>
      </c>
      <c r="L73" s="23">
        <f>'Spectrum Inputs'!C22</f>
        <v>963914</v>
      </c>
      <c r="M73" s="24">
        <f>IFERROR(K73/L73*100,"")</f>
        <v>91.083851878902053</v>
      </c>
      <c r="N73" s="25">
        <f t="shared" si="45"/>
        <v>1.1595108085998939E-2</v>
      </c>
      <c r="O73" s="23">
        <f>'Spectrum Inputs'!D36</f>
        <v>881348</v>
      </c>
      <c r="P73" s="23">
        <f>'Spectrum Inputs'!D22</f>
        <v>962412</v>
      </c>
      <c r="Q73" s="24">
        <f>IFERROR(O73/P73*100,"")</f>
        <v>91.576996130555315</v>
      </c>
      <c r="R73" s="25">
        <f t="shared" si="46"/>
        <v>1.7072064783179682E-2</v>
      </c>
      <c r="S73" s="23">
        <f>'Spectrum Inputs'!E36</f>
        <v>883966</v>
      </c>
      <c r="T73" s="23">
        <f>'Spectrum Inputs'!E22</f>
        <v>960237</v>
      </c>
      <c r="U73" s="24">
        <f>IFERROR(S73/T73*100,"")</f>
        <v>92.057065078725358</v>
      </c>
      <c r="V73" s="25">
        <f t="shared" si="47"/>
        <v>2.2403804597592333E-2</v>
      </c>
      <c r="W73" s="23">
        <f>'Spectrum Inputs'!F36</f>
        <v>886790</v>
      </c>
      <c r="X73" s="23">
        <f>'Spectrum Inputs'!F22</f>
        <v>957875</v>
      </c>
      <c r="Y73" s="24">
        <f>IFERROR(W73/X73*100,"")</f>
        <v>92.578885553960589</v>
      </c>
      <c r="Z73" s="25">
        <f t="shared" si="48"/>
        <v>2.819924505337023E-2</v>
      </c>
      <c r="AA73" s="23">
        <f>'Spectrum Inputs'!G36</f>
        <v>889230</v>
      </c>
      <c r="AB73" s="23">
        <f>'Spectrum Inputs'!G22</f>
        <v>954771</v>
      </c>
      <c r="AC73" s="24">
        <f>IFERROR(AA73/AB73*100,"")</f>
        <v>93.135422001715597</v>
      </c>
      <c r="AD73" s="25">
        <f t="shared" si="49"/>
        <v>3.4380247903019488E-2</v>
      </c>
      <c r="AE73" s="3"/>
      <c r="AF73" s="27"/>
    </row>
    <row r="74" spans="1:32" ht="19.5" customHeight="1" x14ac:dyDescent="0.3">
      <c r="A74" s="4"/>
      <c r="B74" s="4"/>
      <c r="C74" s="4"/>
      <c r="D74" s="4"/>
      <c r="E74" s="20" t="s">
        <v>131</v>
      </c>
      <c r="F74" s="21" t="s">
        <v>132</v>
      </c>
      <c r="G74" s="22">
        <v>2025</v>
      </c>
      <c r="H74" s="23">
        <f>'Spectrum Inputs'!B34+'Spectrum Inputs'!B35</f>
        <v>28196</v>
      </c>
      <c r="I74" s="23">
        <f>'Spectrum Inputs'!B20+'Spectrum Inputs'!B21</f>
        <v>42117</v>
      </c>
      <c r="J74" s="24">
        <f t="shared" si="44"/>
        <v>66.946838568748959</v>
      </c>
      <c r="K74" s="23">
        <f>'Spectrum Inputs'!C34+'Spectrum Inputs'!C35</f>
        <v>28246</v>
      </c>
      <c r="L74" s="23">
        <f>'Spectrum Inputs'!C20+'Spectrum Inputs'!C21</f>
        <v>36907</v>
      </c>
      <c r="M74" s="24">
        <f>IFERROR(K74/L74*100,"")</f>
        <v>76.532907036605522</v>
      </c>
      <c r="N74" s="25">
        <f t="shared" si="45"/>
        <v>0.14318926289569969</v>
      </c>
      <c r="O74" s="23">
        <f>'Spectrum Inputs'!D34+'Spectrum Inputs'!D35</f>
        <v>25607</v>
      </c>
      <c r="P74" s="23">
        <f>'Spectrum Inputs'!D20+'Spectrum Inputs'!D21</f>
        <v>32115</v>
      </c>
      <c r="Q74" s="24">
        <f>IFERROR(O74/P74*100,"")</f>
        <v>79.735326171570918</v>
      </c>
      <c r="R74" s="25">
        <f t="shared" si="46"/>
        <v>0.19102451850193378</v>
      </c>
      <c r="S74" s="23">
        <f>'Spectrum Inputs'!E34+'Spectrum Inputs'!E35</f>
        <v>23044</v>
      </c>
      <c r="T74" s="23">
        <f>'Spectrum Inputs'!E20+'Spectrum Inputs'!E21</f>
        <v>27995</v>
      </c>
      <c r="U74" s="24">
        <f>IFERROR(S74/T74*100,"")</f>
        <v>82.314699053402393</v>
      </c>
      <c r="V74" s="25">
        <f t="shared" si="47"/>
        <v>0.22955319195352131</v>
      </c>
      <c r="W74" s="23">
        <f>'Spectrum Inputs'!F34+'Spectrum Inputs'!F35</f>
        <v>20864</v>
      </c>
      <c r="X74" s="23">
        <f>'Spectrum Inputs'!F20+'Spectrum Inputs'!F21</f>
        <v>24492</v>
      </c>
      <c r="Y74" s="24">
        <f>IFERROR(W74/X74*100,"")</f>
        <v>85.186999836681366</v>
      </c>
      <c r="Z74" s="25">
        <f t="shared" si="48"/>
        <v>0.27245739541832503</v>
      </c>
      <c r="AA74" s="23">
        <f>'Spectrum Inputs'!G34+'Spectrum Inputs'!G35</f>
        <v>19151</v>
      </c>
      <c r="AB74" s="23">
        <f>'Spectrum Inputs'!G20+'Spectrum Inputs'!G21</f>
        <v>21722</v>
      </c>
      <c r="AC74" s="24">
        <f>IFERROR(AA74/AB74*100,"")</f>
        <v>88.164073289752324</v>
      </c>
      <c r="AD74" s="25">
        <f t="shared" si="49"/>
        <v>0.31692661184015419</v>
      </c>
      <c r="AE74" s="3"/>
      <c r="AF74" s="27"/>
    </row>
    <row r="75" spans="1:32" ht="19.5" customHeight="1" x14ac:dyDescent="0.3">
      <c r="A75" s="4"/>
      <c r="B75" s="4"/>
      <c r="C75" s="4"/>
      <c r="D75" s="4"/>
      <c r="E75" s="20"/>
      <c r="F75" s="21" t="s">
        <v>24</v>
      </c>
      <c r="G75" s="22">
        <v>2025</v>
      </c>
      <c r="H75" s="23">
        <f>'Spectrum Inputs'!B37</f>
        <v>586324</v>
      </c>
      <c r="I75" s="23">
        <f>'Spectrum Inputs'!B23</f>
        <v>646519</v>
      </c>
      <c r="J75" s="24">
        <f t="shared" si="44"/>
        <v>90.689368757917393</v>
      </c>
      <c r="K75" s="23">
        <f>'Spectrum Inputs'!C37</f>
        <v>594766</v>
      </c>
      <c r="L75" s="23">
        <f>'Spectrum Inputs'!C23</f>
        <v>644553</v>
      </c>
      <c r="M75" s="24">
        <f>IFERROR(K75/L75*100,"")</f>
        <v>92.275732174080332</v>
      </c>
      <c r="N75" s="42">
        <f t="shared" si="45"/>
        <v>1.7492275422023446E-2</v>
      </c>
      <c r="O75" s="23">
        <f>'Spectrum Inputs'!D37</f>
        <v>595597</v>
      </c>
      <c r="P75" s="23">
        <f>'Spectrum Inputs'!D23</f>
        <v>642448</v>
      </c>
      <c r="Q75" s="24">
        <f>IFERROR(O75/P75*100,"")</f>
        <v>92.707425348043742</v>
      </c>
      <c r="R75" s="42">
        <f t="shared" si="46"/>
        <v>2.2252405301367458E-2</v>
      </c>
      <c r="S75" s="23">
        <f>'Spectrum Inputs'!E37</f>
        <v>596035</v>
      </c>
      <c r="T75" s="23">
        <f>'Spectrum Inputs'!E23</f>
        <v>640331</v>
      </c>
      <c r="U75" s="24">
        <f>IFERROR(S75/T75*100,"")</f>
        <v>93.082327733625263</v>
      </c>
      <c r="V75" s="42">
        <f t="shared" si="47"/>
        <v>2.6386322988922108E-2</v>
      </c>
      <c r="W75" s="23">
        <f>'Spectrum Inputs'!F37</f>
        <v>596845</v>
      </c>
      <c r="X75" s="23">
        <f>'Spectrum Inputs'!F23</f>
        <v>638449</v>
      </c>
      <c r="Y75" s="24">
        <f>IFERROR(W75/X75*100,"")</f>
        <v>93.483582870362397</v>
      </c>
      <c r="Z75" s="42">
        <f t="shared" si="48"/>
        <v>3.081082326092454E-2</v>
      </c>
      <c r="AA75" s="23">
        <f>'Spectrum Inputs'!G37</f>
        <v>597813</v>
      </c>
      <c r="AB75" s="23">
        <f>'Spectrum Inputs'!G23</f>
        <v>636518</v>
      </c>
      <c r="AC75" s="24">
        <f>IFERROR(AA75/AB75*100,"")</f>
        <v>93.919260727897708</v>
      </c>
      <c r="AD75" s="42">
        <f t="shared" si="49"/>
        <v>3.5614890854539526E-2</v>
      </c>
      <c r="AE75" s="3"/>
      <c r="AF75" s="27"/>
    </row>
    <row r="76" spans="1:32" ht="19.5" customHeight="1" x14ac:dyDescent="0.3">
      <c r="A76" s="4"/>
      <c r="B76" s="4"/>
      <c r="C76" s="4"/>
      <c r="D76" s="4"/>
      <c r="E76" s="20"/>
      <c r="F76" s="21" t="s">
        <v>25</v>
      </c>
      <c r="G76" s="22">
        <v>2025</v>
      </c>
      <c r="H76" s="23">
        <f>'Spectrum Inputs'!B38</f>
        <v>310615</v>
      </c>
      <c r="I76" s="23">
        <f>'Spectrum Inputs'!B24</f>
        <v>360439</v>
      </c>
      <c r="J76" s="24">
        <f t="shared" si="44"/>
        <v>86.176856555478182</v>
      </c>
      <c r="K76" s="23">
        <f>'Spectrum Inputs'!C38</f>
        <v>311452</v>
      </c>
      <c r="L76" s="23">
        <f>'Spectrum Inputs'!C24</f>
        <v>356269</v>
      </c>
      <c r="M76" s="24">
        <f>IFERROR(K76/L76*100,"")</f>
        <v>87.420460382463816</v>
      </c>
      <c r="N76" s="25">
        <f t="shared" si="45"/>
        <v>1.4430833018201791E-2</v>
      </c>
      <c r="O76" s="23">
        <f>'Spectrum Inputs'!D38</f>
        <v>311360</v>
      </c>
      <c r="P76" s="23">
        <f>'Spectrum Inputs'!D24</f>
        <v>352082</v>
      </c>
      <c r="Q76" s="24">
        <f>IFERROR(O76/P76*100,"")</f>
        <v>88.433944365233103</v>
      </c>
      <c r="R76" s="25">
        <f t="shared" si="46"/>
        <v>2.6191345332976644E-2</v>
      </c>
      <c r="S76" s="23">
        <f>'Spectrum Inputs'!E38</f>
        <v>310976</v>
      </c>
      <c r="T76" s="23">
        <f>'Spectrum Inputs'!E24</f>
        <v>347899</v>
      </c>
      <c r="U76" s="24">
        <f>IFERROR(S76/T76*100,"")</f>
        <v>89.386862278994755</v>
      </c>
      <c r="V76" s="25">
        <f t="shared" si="47"/>
        <v>3.7249046342854988E-2</v>
      </c>
      <c r="W76" s="23">
        <f>'Spectrum Inputs'!F38</f>
        <v>310812</v>
      </c>
      <c r="X76" s="23">
        <f>'Spectrum Inputs'!F24</f>
        <v>343919</v>
      </c>
      <c r="Y76" s="24">
        <f>IFERROR(W76/X76*100,"")</f>
        <v>90.373605412902464</v>
      </c>
      <c r="Z76" s="25">
        <f t="shared" si="48"/>
        <v>4.8699256681781329E-2</v>
      </c>
      <c r="AA76" s="23">
        <f>'Spectrum Inputs'!G38</f>
        <v>310570</v>
      </c>
      <c r="AB76" s="23">
        <f>'Spectrum Inputs'!G24</f>
        <v>339977</v>
      </c>
      <c r="AC76" s="24">
        <f>IFERROR(AA76/AB76*100,"")</f>
        <v>91.350297225988825</v>
      </c>
      <c r="AD76" s="25">
        <f t="shared" si="49"/>
        <v>6.0032831055750233E-2</v>
      </c>
      <c r="AE76" s="3"/>
      <c r="AF76" s="27"/>
    </row>
    <row r="77" spans="1:32" ht="19.5" customHeight="1" x14ac:dyDescent="0.3">
      <c r="A77" s="4"/>
      <c r="B77" s="4"/>
      <c r="C77" s="4"/>
      <c r="D77" s="4"/>
      <c r="E77" s="20"/>
      <c r="F77" s="21" t="s">
        <v>133</v>
      </c>
      <c r="G77" s="22">
        <v>2025</v>
      </c>
      <c r="H77" s="23">
        <f>'Spectrum Inputs'!B92*'Spectrum Inputs'!B90/100</f>
        <v>35493.64</v>
      </c>
      <c r="I77" s="23">
        <f>'Spectrum Inputs'!B92</f>
        <v>39004</v>
      </c>
      <c r="J77" s="24">
        <f t="shared" si="44"/>
        <v>91</v>
      </c>
      <c r="K77" s="23">
        <f>IFERROR(M77/100*L77,"")</f>
        <v>13838.064501539387</v>
      </c>
      <c r="L77" s="23">
        <f>I77</f>
        <v>39004</v>
      </c>
      <c r="M77" s="24">
        <f>IFERROR(J82*('Spectrum Inputs'!C110/'Spectrum Inputs'!B110),"")</f>
        <v>35.47857784211719</v>
      </c>
      <c r="N77" s="25">
        <f t="shared" si="45"/>
        <v>-0.61012551821849237</v>
      </c>
      <c r="O77" s="23">
        <f>IFERROR(Q77/100*P77,"")</f>
        <v>13882.93604394775</v>
      </c>
      <c r="P77" s="23">
        <f>I77</f>
        <v>39004</v>
      </c>
      <c r="Q77" s="24">
        <f>IFERROR(J82*('Spectrum Inputs'!D110/'Spectrum Inputs'!B110),"")</f>
        <v>35.593621279734769</v>
      </c>
      <c r="R77" s="25">
        <f t="shared" si="46"/>
        <v>-0.60886130461829924</v>
      </c>
      <c r="S77" s="23">
        <f>IFERROR(U77/100*T77,"")</f>
        <v>13925.11629798546</v>
      </c>
      <c r="T77" s="23">
        <f>I77</f>
        <v>39004</v>
      </c>
      <c r="U77" s="24">
        <f>IFERROR(J82*('Spectrum Inputs'!E110/'Spectrum Inputs'!B110),"")</f>
        <v>35.701764685635986</v>
      </c>
      <c r="V77" s="25">
        <f t="shared" si="47"/>
        <v>-0.60767291554246172</v>
      </c>
      <c r="W77" s="23">
        <f>IFERROR(Y77/100*X77,"")</f>
        <v>13973.308363526876</v>
      </c>
      <c r="X77" s="23">
        <f>I77</f>
        <v>39004</v>
      </c>
      <c r="Y77" s="24">
        <f>IFERROR(J82*('Spectrum Inputs'!F110/'Spectrum Inputs'!B110),"")</f>
        <v>35.825321411975374</v>
      </c>
      <c r="Z77" s="25">
        <f t="shared" si="48"/>
        <v>-0.60631514931895192</v>
      </c>
      <c r="AA77" s="23">
        <f>IFERROR(AC77/100*AB77,"")</f>
        <v>14029.030485986092</v>
      </c>
      <c r="AB77" s="23">
        <f>I77</f>
        <v>39004</v>
      </c>
      <c r="AC77" s="24">
        <f>IFERROR(J82*('Spectrum Inputs'!G110/'Spectrum Inputs'!B110),"")</f>
        <v>35.968183996477521</v>
      </c>
      <c r="AD77" s="25">
        <f t="shared" si="49"/>
        <v>-0.60474523080793929</v>
      </c>
      <c r="AE77" s="19" t="s">
        <v>134</v>
      </c>
      <c r="AF77" s="27"/>
    </row>
    <row r="78" spans="1:32" ht="19.5" customHeight="1" x14ac:dyDescent="0.3">
      <c r="A78" s="4"/>
      <c r="B78" s="4"/>
      <c r="C78" s="4"/>
      <c r="D78" s="4"/>
      <c r="E78" s="20"/>
      <c r="F78" s="21" t="s">
        <v>135</v>
      </c>
      <c r="G78" s="22">
        <v>2025</v>
      </c>
      <c r="H78" s="23">
        <f>'Spectrum Inputs'!C92*'Spectrum Inputs'!C90/100</f>
        <v>32736.674999999999</v>
      </c>
      <c r="I78" s="23">
        <f>'Spectrum Inputs'!C92</f>
        <v>35391</v>
      </c>
      <c r="J78" s="24">
        <f t="shared" si="44"/>
        <v>92.5</v>
      </c>
      <c r="K78" s="23">
        <f>IFERROR(M78/100*L78,"")</f>
        <v>32087.062128003825</v>
      </c>
      <c r="L78" s="23">
        <f>I78</f>
        <v>35391</v>
      </c>
      <c r="M78" s="24">
        <f>IFERROR(J83*('Spectrum Inputs'!C111/'Spectrum Inputs'!B111),"")</f>
        <v>90.664468729348783</v>
      </c>
      <c r="N78" s="25">
        <f t="shared" si="45"/>
        <v>-1.9843581304337478E-2</v>
      </c>
      <c r="O78" s="23">
        <f>IFERROR(Q78/100*P78,"")</f>
        <v>32391.080146079919</v>
      </c>
      <c r="P78" s="23">
        <f>I78</f>
        <v>35391</v>
      </c>
      <c r="Q78" s="24">
        <f>IFERROR(J83*('Spectrum Inputs'!D111/'Spectrum Inputs'!B111),"")</f>
        <v>91.5234950865472</v>
      </c>
      <c r="R78" s="25">
        <f t="shared" si="46"/>
        <v>-1.0556809875165404E-2</v>
      </c>
      <c r="S78" s="23">
        <f>IFERROR(U78/100*T78,"")</f>
        <v>32694.911440192129</v>
      </c>
      <c r="T78" s="23">
        <f>I78</f>
        <v>35391</v>
      </c>
      <c r="U78" s="24">
        <f>IFERROR(J83*('Spectrum Inputs'!E111/'Spectrum Inputs'!B111),"")</f>
        <v>92.381993840784745</v>
      </c>
      <c r="V78" s="25">
        <f t="shared" si="47"/>
        <v>-1.2757422617865456E-3</v>
      </c>
      <c r="W78" s="23">
        <f>IFERROR(Y78/100*X78,"")</f>
        <v>33016.373348365531</v>
      </c>
      <c r="X78" s="23">
        <f>I78</f>
        <v>35391</v>
      </c>
      <c r="Y78" s="24">
        <f>IFERROR(J83*('Spectrum Inputs'!F111/'Spectrum Inputs'!B111),"")</f>
        <v>93.290309254797904</v>
      </c>
      <c r="Z78" s="25">
        <f t="shared" si="48"/>
        <v>8.5438838356530194E-3</v>
      </c>
      <c r="AA78" s="23">
        <f>IFERROR(AC78/100*AB78,"")</f>
        <v>33340.669275859713</v>
      </c>
      <c r="AB78" s="23">
        <f>I78</f>
        <v>35391</v>
      </c>
      <c r="AC78" s="24">
        <f>IFERROR(J83*('Spectrum Inputs'!G111/'Spectrum Inputs'!B111),"")</f>
        <v>94.206632408973221</v>
      </c>
      <c r="AD78" s="25">
        <f t="shared" si="49"/>
        <v>1.8450080097007791E-2</v>
      </c>
      <c r="AE78" s="19" t="s">
        <v>136</v>
      </c>
      <c r="AF78" s="27"/>
    </row>
    <row r="79" spans="1:32" ht="19.5" customHeight="1" x14ac:dyDescent="0.3">
      <c r="A79" s="4"/>
      <c r="B79" s="4"/>
      <c r="C79" s="4"/>
      <c r="D79" s="4"/>
      <c r="E79" s="20"/>
      <c r="F79" s="21" t="s">
        <v>137</v>
      </c>
      <c r="G79" s="22">
        <v>2025</v>
      </c>
      <c r="H79" s="23"/>
      <c r="I79" s="23">
        <f>'Spectrum Inputs'!D92</f>
        <v>4876</v>
      </c>
      <c r="J79" s="24"/>
      <c r="K79" s="23"/>
      <c r="L79" s="23">
        <f>I79</f>
        <v>4876</v>
      </c>
      <c r="M79" s="24"/>
      <c r="N79" s="25"/>
      <c r="O79" s="23"/>
      <c r="P79" s="23">
        <f>I79</f>
        <v>4876</v>
      </c>
      <c r="Q79" s="24"/>
      <c r="R79" s="25"/>
      <c r="S79" s="23"/>
      <c r="T79" s="23">
        <f>I79</f>
        <v>4876</v>
      </c>
      <c r="U79" s="24"/>
      <c r="V79" s="25"/>
      <c r="W79" s="23"/>
      <c r="X79" s="23">
        <f>I79</f>
        <v>4876</v>
      </c>
      <c r="Y79" s="24"/>
      <c r="Z79" s="25"/>
      <c r="AA79" s="23"/>
      <c r="AB79" s="23">
        <f>I79</f>
        <v>4876</v>
      </c>
      <c r="AC79" s="24"/>
      <c r="AD79" s="25"/>
      <c r="AE79" s="3" t="s">
        <v>138</v>
      </c>
      <c r="AF79" s="43"/>
    </row>
    <row r="80" spans="1:32" ht="19.5" customHeight="1" x14ac:dyDescent="0.3">
      <c r="A80" s="4"/>
      <c r="B80" s="4"/>
      <c r="C80" s="4"/>
      <c r="D80" s="4"/>
      <c r="E80" s="20"/>
      <c r="F80" s="21" t="s">
        <v>40</v>
      </c>
      <c r="G80" s="22">
        <v>2025</v>
      </c>
      <c r="H80" s="23"/>
      <c r="I80" s="23">
        <f>'Spectrum Inputs'!E92</f>
        <v>8369</v>
      </c>
      <c r="J80" s="24"/>
      <c r="K80" s="23"/>
      <c r="L80" s="23">
        <f>I80</f>
        <v>8369</v>
      </c>
      <c r="M80" s="24"/>
      <c r="N80" s="25"/>
      <c r="O80" s="23"/>
      <c r="P80" s="23">
        <f>I80</f>
        <v>8369</v>
      </c>
      <c r="Q80" s="24"/>
      <c r="R80" s="25"/>
      <c r="S80" s="23"/>
      <c r="T80" s="23">
        <f>I80</f>
        <v>8369</v>
      </c>
      <c r="U80" s="24"/>
      <c r="V80" s="25"/>
      <c r="W80" s="23"/>
      <c r="X80" s="23">
        <f>I80</f>
        <v>8369</v>
      </c>
      <c r="Y80" s="24"/>
      <c r="Z80" s="25"/>
      <c r="AA80" s="23"/>
      <c r="AB80" s="23">
        <f>I80</f>
        <v>8369</v>
      </c>
      <c r="AC80" s="24"/>
      <c r="AD80" s="25"/>
      <c r="AE80" s="3"/>
      <c r="AF80" s="43"/>
    </row>
    <row r="81" spans="1:32" ht="96.75" customHeight="1" x14ac:dyDescent="0.3">
      <c r="A81" s="29" t="s">
        <v>123</v>
      </c>
      <c r="B81" s="30" t="s">
        <v>139</v>
      </c>
      <c r="C81" s="30" t="s">
        <v>140</v>
      </c>
      <c r="D81" s="30" t="s">
        <v>141</v>
      </c>
      <c r="E81" s="31"/>
      <c r="F81" s="32" t="s">
        <v>19</v>
      </c>
      <c r="G81" s="33">
        <v>2025</v>
      </c>
      <c r="H81" s="34">
        <v>327</v>
      </c>
      <c r="I81" s="34">
        <v>850</v>
      </c>
      <c r="J81" s="38">
        <f>IFERROR(H81/I81*100,"")</f>
        <v>38.470588235294116</v>
      </c>
      <c r="K81" s="34">
        <f>IFERROR(M81/100*L81,"")</f>
        <v>423.09999999999997</v>
      </c>
      <c r="L81" s="34">
        <f>I81</f>
        <v>850</v>
      </c>
      <c r="M81" s="38">
        <f>IFERROR(J81+(95-J81)*1/5,"")</f>
        <v>49.776470588235291</v>
      </c>
      <c r="N81" s="44">
        <f t="shared" ref="N81:N93" si="50">IFERROR((M81-J81)/J81,"")</f>
        <v>0.29388379204892967</v>
      </c>
      <c r="O81" s="34">
        <f>IFERROR(Q81/100*P81,"")</f>
        <v>519.19999999999993</v>
      </c>
      <c r="P81" s="34">
        <f>I81</f>
        <v>850</v>
      </c>
      <c r="Q81" s="38">
        <f>IFERROR(J81+(95-J81)*2/5,"")</f>
        <v>61.082352941176467</v>
      </c>
      <c r="R81" s="44">
        <f t="shared" ref="R81:R93" si="51">IFERROR((Q81-J81)/J81,"")</f>
        <v>0.58776758409785934</v>
      </c>
      <c r="S81" s="34">
        <f>IFERROR(U81/100*T81,"")</f>
        <v>615.30000000000007</v>
      </c>
      <c r="T81" s="34">
        <f>I81</f>
        <v>850</v>
      </c>
      <c r="U81" s="38">
        <f>IFERROR(J81+(95-J81)*3/5,"")</f>
        <v>72.388235294117649</v>
      </c>
      <c r="V81" s="44">
        <f t="shared" ref="V81:V93" si="52">IFERROR((U81-J81)/J81,"")</f>
        <v>0.88165137614678912</v>
      </c>
      <c r="W81" s="34">
        <f>IFERROR(Y81/100*X81,"")</f>
        <v>711.4</v>
      </c>
      <c r="X81" s="34">
        <f>I81</f>
        <v>850</v>
      </c>
      <c r="Y81" s="38">
        <f>IFERROR(J81+(95-J81)*4/5,"")</f>
        <v>83.694117647058818</v>
      </c>
      <c r="Z81" s="44">
        <f t="shared" ref="Z81:Z93" si="53">IFERROR((Y81-J81)/J81,"")</f>
        <v>1.1755351681957187</v>
      </c>
      <c r="AA81" s="34">
        <f>IFERROR(AC81/100*AB81,"")</f>
        <v>807.5</v>
      </c>
      <c r="AB81" s="34">
        <f>I81</f>
        <v>850</v>
      </c>
      <c r="AC81" s="38">
        <f>IFERROR(J81+(95-J81)*5/5,"")</f>
        <v>95</v>
      </c>
      <c r="AD81" s="44">
        <f t="shared" ref="AD81:AD93" si="54">IFERROR((AC81-J81)/J81,"")</f>
        <v>1.4694189602446484</v>
      </c>
      <c r="AE81" s="30" t="s">
        <v>142</v>
      </c>
      <c r="AF81" s="43"/>
    </row>
    <row r="82" spans="1:32" ht="96.75" customHeight="1" x14ac:dyDescent="0.3">
      <c r="A82" s="18" t="s">
        <v>123</v>
      </c>
      <c r="B82" s="19" t="s">
        <v>143</v>
      </c>
      <c r="C82" s="19" t="s">
        <v>144</v>
      </c>
      <c r="D82" s="19" t="s">
        <v>145</v>
      </c>
      <c r="E82" s="20"/>
      <c r="F82" s="21" t="s">
        <v>146</v>
      </c>
      <c r="G82" s="22">
        <v>2025</v>
      </c>
      <c r="H82" s="23">
        <f>IFERROR(J82/100*I82,"")</f>
        <v>180925.15</v>
      </c>
      <c r="I82" s="23">
        <f>'Spectrum Inputs'!B130</f>
        <v>516929</v>
      </c>
      <c r="J82" s="24">
        <f>35</f>
        <v>35</v>
      </c>
      <c r="K82" s="23">
        <f>IFERROR(M82/100*L82,"")</f>
        <v>236240.84</v>
      </c>
      <c r="L82" s="23">
        <f>'Spectrum Inputs'!C130</f>
        <v>536911</v>
      </c>
      <c r="M82" s="24">
        <f>IFERROR(J82+(80-J82)*1/5,"")</f>
        <v>44</v>
      </c>
      <c r="N82" s="45">
        <f t="shared" si="50"/>
        <v>0.25714285714285712</v>
      </c>
      <c r="O82" s="23">
        <f>IFERROR(Q82/100*P82,"")</f>
        <v>293282.92000000004</v>
      </c>
      <c r="P82" s="23">
        <f>'Spectrum Inputs'!D130</f>
        <v>553364</v>
      </c>
      <c r="Q82" s="24">
        <f>IFERROR(J82+(80-J82)*2/5,"")</f>
        <v>53</v>
      </c>
      <c r="R82" s="45">
        <f t="shared" si="51"/>
        <v>0.51428571428571423</v>
      </c>
      <c r="S82" s="23">
        <f>IFERROR(U82/100*T82,"")</f>
        <v>352982.74</v>
      </c>
      <c r="T82" s="23">
        <f>'Spectrum Inputs'!E130</f>
        <v>569327</v>
      </c>
      <c r="U82" s="24">
        <f>IFERROR(J82+(80-J82)*3/5,"")</f>
        <v>62</v>
      </c>
      <c r="V82" s="45">
        <f t="shared" si="52"/>
        <v>0.77142857142857146</v>
      </c>
      <c r="W82" s="23">
        <f>IFERROR(Y82/100*X82,"")</f>
        <v>415036.88999999996</v>
      </c>
      <c r="X82" s="23">
        <f>'Spectrum Inputs'!F130</f>
        <v>584559</v>
      </c>
      <c r="Y82" s="24">
        <f>IFERROR(J82+(80-J82)*4/5,"")</f>
        <v>71</v>
      </c>
      <c r="Z82" s="45">
        <f t="shared" si="53"/>
        <v>1.0285714285714285</v>
      </c>
      <c r="AA82" s="23">
        <f>IFERROR(AC82/100*AB82,"")</f>
        <v>479181.60000000003</v>
      </c>
      <c r="AB82" s="23">
        <f>'Spectrum Inputs'!G130</f>
        <v>598977</v>
      </c>
      <c r="AC82" s="24">
        <f>IFERROR(J82+(80-J82)*5/5,"")</f>
        <v>80</v>
      </c>
      <c r="AD82" s="45">
        <f t="shared" si="54"/>
        <v>1.2857142857142858</v>
      </c>
      <c r="AE82" s="19" t="s">
        <v>147</v>
      </c>
      <c r="AF82" s="43"/>
    </row>
    <row r="83" spans="1:32" ht="19.5" customHeight="1" x14ac:dyDescent="0.3">
      <c r="A83" s="2" t="s">
        <v>123</v>
      </c>
      <c r="B83" s="1" t="s">
        <v>148</v>
      </c>
      <c r="C83" s="1" t="s">
        <v>149</v>
      </c>
      <c r="D83" s="1" t="s">
        <v>150</v>
      </c>
      <c r="E83" s="31" t="s">
        <v>151</v>
      </c>
      <c r="F83" s="32" t="s">
        <v>152</v>
      </c>
      <c r="G83" s="33">
        <v>2025</v>
      </c>
      <c r="H83" s="34"/>
      <c r="I83" s="34"/>
      <c r="J83" s="38">
        <v>90</v>
      </c>
      <c r="K83" s="34"/>
      <c r="L83" s="34"/>
      <c r="M83" s="38">
        <v>90</v>
      </c>
      <c r="N83" s="44"/>
      <c r="O83" s="34"/>
      <c r="P83" s="34"/>
      <c r="Q83" s="38">
        <v>90</v>
      </c>
      <c r="R83" s="44"/>
      <c r="S83" s="34"/>
      <c r="T83" s="34"/>
      <c r="U83" s="38">
        <v>90</v>
      </c>
      <c r="V83" s="44"/>
      <c r="W83" s="34"/>
      <c r="X83" s="34"/>
      <c r="Y83" s="38">
        <v>90</v>
      </c>
      <c r="Z83" s="44"/>
      <c r="AA83" s="34"/>
      <c r="AB83" s="34"/>
      <c r="AC83" s="38">
        <v>90</v>
      </c>
      <c r="AD83" s="44"/>
      <c r="AE83" s="1" t="s">
        <v>278</v>
      </c>
      <c r="AF83" s="43"/>
    </row>
    <row r="84" spans="1:32" ht="19.5" customHeight="1" x14ac:dyDescent="0.3">
      <c r="A84" s="2"/>
      <c r="B84" s="2"/>
      <c r="C84" s="2"/>
      <c r="D84" s="2"/>
      <c r="E84" s="31" t="s">
        <v>154</v>
      </c>
      <c r="F84" s="32" t="s">
        <v>34</v>
      </c>
      <c r="G84" s="33">
        <v>2025</v>
      </c>
      <c r="H84" s="34"/>
      <c r="I84" s="34"/>
      <c r="J84" s="38">
        <v>90</v>
      </c>
      <c r="K84" s="34"/>
      <c r="L84" s="34"/>
      <c r="M84" s="38">
        <v>90</v>
      </c>
      <c r="N84" s="44"/>
      <c r="O84" s="34"/>
      <c r="P84" s="34"/>
      <c r="Q84" s="38">
        <v>90</v>
      </c>
      <c r="R84" s="44"/>
      <c r="S84" s="34"/>
      <c r="T84" s="34"/>
      <c r="U84" s="38">
        <v>90</v>
      </c>
      <c r="V84" s="44"/>
      <c r="W84" s="34"/>
      <c r="X84" s="34"/>
      <c r="Y84" s="38">
        <v>90</v>
      </c>
      <c r="Z84" s="44"/>
      <c r="AA84" s="34"/>
      <c r="AB84" s="34"/>
      <c r="AC84" s="38">
        <v>90</v>
      </c>
      <c r="AD84" s="44"/>
      <c r="AE84" s="1"/>
      <c r="AF84" s="43"/>
    </row>
    <row r="85" spans="1:32" ht="19.5" customHeight="1" x14ac:dyDescent="0.3">
      <c r="A85" s="2"/>
      <c r="B85" s="2"/>
      <c r="C85" s="2"/>
      <c r="D85" s="2"/>
      <c r="E85" s="31" t="s">
        <v>155</v>
      </c>
      <c r="F85" s="32" t="s">
        <v>37</v>
      </c>
      <c r="G85" s="33">
        <v>2025</v>
      </c>
      <c r="H85" s="34"/>
      <c r="I85" s="34"/>
      <c r="J85" s="38">
        <v>90</v>
      </c>
      <c r="K85" s="34"/>
      <c r="L85" s="34"/>
      <c r="M85" s="38">
        <v>90</v>
      </c>
      <c r="N85" s="44"/>
      <c r="O85" s="34"/>
      <c r="P85" s="34"/>
      <c r="Q85" s="38">
        <v>90</v>
      </c>
      <c r="R85" s="44"/>
      <c r="S85" s="34"/>
      <c r="T85" s="34"/>
      <c r="U85" s="38">
        <v>90</v>
      </c>
      <c r="V85" s="44"/>
      <c r="W85" s="34"/>
      <c r="X85" s="34"/>
      <c r="Y85" s="38">
        <v>90</v>
      </c>
      <c r="Z85" s="44"/>
      <c r="AA85" s="34"/>
      <c r="AB85" s="34"/>
      <c r="AC85" s="38">
        <v>90</v>
      </c>
      <c r="AD85" s="44"/>
      <c r="AE85" s="1"/>
      <c r="AF85" s="43"/>
    </row>
    <row r="86" spans="1:32" ht="19.5" customHeight="1" x14ac:dyDescent="0.3">
      <c r="A86" s="2"/>
      <c r="B86" s="2"/>
      <c r="C86" s="2"/>
      <c r="D86" s="2"/>
      <c r="E86" s="31" t="s">
        <v>156</v>
      </c>
      <c r="F86" s="32" t="s">
        <v>31</v>
      </c>
      <c r="G86" s="33">
        <v>2025</v>
      </c>
      <c r="H86" s="34"/>
      <c r="I86" s="34"/>
      <c r="J86" s="38">
        <v>90</v>
      </c>
      <c r="K86" s="34"/>
      <c r="L86" s="34"/>
      <c r="M86" s="38">
        <v>90</v>
      </c>
      <c r="N86" s="44"/>
      <c r="O86" s="34"/>
      <c r="P86" s="34"/>
      <c r="Q86" s="38">
        <v>90</v>
      </c>
      <c r="R86" s="44"/>
      <c r="S86" s="34"/>
      <c r="T86" s="34"/>
      <c r="U86" s="38">
        <v>90</v>
      </c>
      <c r="V86" s="44"/>
      <c r="W86" s="34"/>
      <c r="X86" s="34"/>
      <c r="Y86" s="38">
        <v>90</v>
      </c>
      <c r="Z86" s="44"/>
      <c r="AA86" s="34"/>
      <c r="AB86" s="34"/>
      <c r="AC86" s="38">
        <v>90</v>
      </c>
      <c r="AD86" s="44"/>
      <c r="AE86" s="1"/>
      <c r="AF86" s="43"/>
    </row>
    <row r="87" spans="1:32" ht="19.5" customHeight="1" x14ac:dyDescent="0.3">
      <c r="A87" s="2"/>
      <c r="B87" s="2"/>
      <c r="C87" s="2"/>
      <c r="D87" s="2"/>
      <c r="E87" s="31" t="s">
        <v>157</v>
      </c>
      <c r="F87" s="32" t="s">
        <v>40</v>
      </c>
      <c r="G87" s="33">
        <v>2025</v>
      </c>
      <c r="H87" s="34"/>
      <c r="I87" s="34"/>
      <c r="J87" s="38">
        <v>90</v>
      </c>
      <c r="K87" s="34"/>
      <c r="L87" s="34"/>
      <c r="M87" s="38">
        <v>90</v>
      </c>
      <c r="N87" s="44"/>
      <c r="O87" s="34"/>
      <c r="P87" s="34"/>
      <c r="Q87" s="38">
        <v>90</v>
      </c>
      <c r="R87" s="44"/>
      <c r="S87" s="34"/>
      <c r="T87" s="34"/>
      <c r="U87" s="38">
        <v>90</v>
      </c>
      <c r="V87" s="44"/>
      <c r="W87" s="34"/>
      <c r="X87" s="34"/>
      <c r="Y87" s="38">
        <v>90</v>
      </c>
      <c r="Z87" s="44"/>
      <c r="AA87" s="34"/>
      <c r="AB87" s="34"/>
      <c r="AC87" s="38">
        <v>90</v>
      </c>
      <c r="AD87" s="44"/>
      <c r="AE87" s="1"/>
      <c r="AF87" s="43"/>
    </row>
    <row r="88" spans="1:32" ht="19.5" customHeight="1" x14ac:dyDescent="0.3">
      <c r="A88" s="2"/>
      <c r="B88" s="2"/>
      <c r="C88" s="2"/>
      <c r="D88" s="2"/>
      <c r="E88" s="31" t="s">
        <v>158</v>
      </c>
      <c r="F88" s="32" t="s">
        <v>159</v>
      </c>
      <c r="G88" s="33">
        <v>2025</v>
      </c>
      <c r="H88" s="34"/>
      <c r="I88" s="34"/>
      <c r="J88" s="38">
        <v>90</v>
      </c>
      <c r="K88" s="34"/>
      <c r="L88" s="34"/>
      <c r="M88" s="38">
        <v>90</v>
      </c>
      <c r="N88" s="44"/>
      <c r="O88" s="34"/>
      <c r="P88" s="34"/>
      <c r="Q88" s="38">
        <v>90</v>
      </c>
      <c r="R88" s="44"/>
      <c r="S88" s="34"/>
      <c r="T88" s="34"/>
      <c r="U88" s="38">
        <v>90</v>
      </c>
      <c r="V88" s="44"/>
      <c r="W88" s="34"/>
      <c r="X88" s="34"/>
      <c r="Y88" s="38">
        <v>90</v>
      </c>
      <c r="Z88" s="44"/>
      <c r="AA88" s="34"/>
      <c r="AB88" s="34"/>
      <c r="AC88" s="38">
        <v>90</v>
      </c>
      <c r="AD88" s="44"/>
      <c r="AE88" s="1"/>
      <c r="AF88" s="43"/>
    </row>
    <row r="89" spans="1:32" ht="19.5" customHeight="1" x14ac:dyDescent="0.3">
      <c r="A89" s="2"/>
      <c r="B89" s="2"/>
      <c r="C89" s="2"/>
      <c r="D89" s="2"/>
      <c r="E89" s="31" t="s">
        <v>160</v>
      </c>
      <c r="F89" s="32" t="s">
        <v>161</v>
      </c>
      <c r="G89" s="33">
        <v>2025</v>
      </c>
      <c r="H89" s="34"/>
      <c r="I89" s="34"/>
      <c r="J89" s="38">
        <v>90</v>
      </c>
      <c r="K89" s="34"/>
      <c r="L89" s="34"/>
      <c r="M89" s="38">
        <v>90</v>
      </c>
      <c r="N89" s="44"/>
      <c r="O89" s="34"/>
      <c r="P89" s="34"/>
      <c r="Q89" s="38">
        <v>90</v>
      </c>
      <c r="R89" s="44"/>
      <c r="S89" s="34"/>
      <c r="T89" s="34"/>
      <c r="U89" s="38">
        <v>90</v>
      </c>
      <c r="V89" s="44"/>
      <c r="W89" s="34"/>
      <c r="X89" s="34"/>
      <c r="Y89" s="38">
        <v>90</v>
      </c>
      <c r="Z89" s="44"/>
      <c r="AA89" s="34"/>
      <c r="AB89" s="34"/>
      <c r="AC89" s="38">
        <v>90</v>
      </c>
      <c r="AD89" s="44"/>
      <c r="AE89" s="1"/>
      <c r="AF89" s="43"/>
    </row>
    <row r="90" spans="1:32" ht="96.75" customHeight="1" x14ac:dyDescent="0.3">
      <c r="A90" s="18" t="s">
        <v>123</v>
      </c>
      <c r="B90" s="19" t="s">
        <v>162</v>
      </c>
      <c r="C90" s="19" t="s">
        <v>163</v>
      </c>
      <c r="D90" s="19" t="s">
        <v>141</v>
      </c>
      <c r="E90" s="20" t="s">
        <v>164</v>
      </c>
      <c r="F90" s="21" t="s">
        <v>19</v>
      </c>
      <c r="G90" s="22">
        <v>2025</v>
      </c>
      <c r="H90" s="23"/>
      <c r="I90" s="23"/>
      <c r="J90" s="24">
        <f>95</f>
        <v>95</v>
      </c>
      <c r="K90" s="23"/>
      <c r="L90" s="23"/>
      <c r="M90" s="24">
        <v>95</v>
      </c>
      <c r="N90" s="45"/>
      <c r="O90" s="23"/>
      <c r="P90" s="23"/>
      <c r="Q90" s="24">
        <v>95</v>
      </c>
      <c r="R90" s="45"/>
      <c r="S90" s="23"/>
      <c r="T90" s="23"/>
      <c r="U90" s="24">
        <v>95</v>
      </c>
      <c r="V90" s="45"/>
      <c r="W90" s="23"/>
      <c r="X90" s="23"/>
      <c r="Y90" s="24">
        <v>95</v>
      </c>
      <c r="Z90" s="45"/>
      <c r="AA90" s="23"/>
      <c r="AB90" s="23"/>
      <c r="AC90" s="24">
        <v>95</v>
      </c>
      <c r="AD90" s="45"/>
      <c r="AE90" s="19" t="s">
        <v>165</v>
      </c>
      <c r="AF90" s="43"/>
    </row>
    <row r="91" spans="1:32" ht="116.25" customHeight="1" x14ac:dyDescent="0.3">
      <c r="A91" s="29" t="s">
        <v>123</v>
      </c>
      <c r="B91" s="30" t="s">
        <v>166</v>
      </c>
      <c r="C91" s="30" t="s">
        <v>167</v>
      </c>
      <c r="D91" s="30" t="s">
        <v>168</v>
      </c>
      <c r="E91" s="31" t="s">
        <v>169</v>
      </c>
      <c r="F91" s="32" t="s">
        <v>170</v>
      </c>
      <c r="G91" s="33">
        <v>2025</v>
      </c>
      <c r="H91" s="34">
        <f>IFERROR(J91/100*I91,"")</f>
        <v>647624.5</v>
      </c>
      <c r="I91" s="34">
        <f>'Spectrum Inputs'!B125</f>
        <v>681710</v>
      </c>
      <c r="J91" s="38">
        <f>95</f>
        <v>95</v>
      </c>
      <c r="K91" s="34">
        <f>IFERROR(M91/100*L91,"")</f>
        <v>653487.9</v>
      </c>
      <c r="L91" s="34">
        <f>'Spectrum Inputs'!C125</f>
        <v>687882</v>
      </c>
      <c r="M91" s="38">
        <f>95</f>
        <v>95</v>
      </c>
      <c r="N91" s="44"/>
      <c r="O91" s="34">
        <f>IFERROR(Q91/100*P91,"")</f>
        <v>662787.44999999995</v>
      </c>
      <c r="P91" s="34">
        <f>'Spectrum Inputs'!D125</f>
        <v>697671</v>
      </c>
      <c r="Q91" s="38">
        <f>95</f>
        <v>95</v>
      </c>
      <c r="R91" s="44"/>
      <c r="S91" s="34">
        <f>IFERROR(U91/100*T91,"")</f>
        <v>670741.79999999993</v>
      </c>
      <c r="T91" s="34">
        <f>'Spectrum Inputs'!E125</f>
        <v>706044</v>
      </c>
      <c r="U91" s="38">
        <f>95</f>
        <v>95</v>
      </c>
      <c r="V91" s="44"/>
      <c r="W91" s="34">
        <f>IFERROR(Y91/100*X91,"")</f>
        <v>680452.7</v>
      </c>
      <c r="X91" s="34">
        <f>'Spectrum Inputs'!F125</f>
        <v>716266</v>
      </c>
      <c r="Y91" s="38">
        <f>95</f>
        <v>95</v>
      </c>
      <c r="Z91" s="44"/>
      <c r="AA91" s="34">
        <f>IFERROR(AC91/100*AB91,"")</f>
        <v>685066.85</v>
      </c>
      <c r="AB91" s="34">
        <f>'Spectrum Inputs'!G125</f>
        <v>721123</v>
      </c>
      <c r="AC91" s="38">
        <f>95</f>
        <v>95</v>
      </c>
      <c r="AD91" s="44"/>
      <c r="AE91" s="30" t="s">
        <v>171</v>
      </c>
      <c r="AF91" s="43"/>
    </row>
    <row r="92" spans="1:32" ht="96.75" customHeight="1" x14ac:dyDescent="0.3">
      <c r="A92" s="18" t="s">
        <v>123</v>
      </c>
      <c r="B92" s="19" t="s">
        <v>172</v>
      </c>
      <c r="C92" s="19" t="s">
        <v>173</v>
      </c>
      <c r="D92" s="19" t="s">
        <v>174</v>
      </c>
      <c r="E92" s="20" t="s">
        <v>175</v>
      </c>
      <c r="F92" s="21" t="s">
        <v>170</v>
      </c>
      <c r="G92" s="22">
        <v>2025</v>
      </c>
      <c r="H92" s="23">
        <f>IFERROR(J92/100*I92,"")</f>
        <v>637484.56000000006</v>
      </c>
      <c r="I92" s="23">
        <v>692918</v>
      </c>
      <c r="J92" s="24">
        <f>92</f>
        <v>92</v>
      </c>
      <c r="K92" s="23">
        <f>IFERROR(M92/100*L92,"")</f>
        <v>658272.1</v>
      </c>
      <c r="L92" s="23">
        <f>I92</f>
        <v>692918</v>
      </c>
      <c r="M92" s="24">
        <f>95</f>
        <v>95</v>
      </c>
      <c r="N92" s="45">
        <f t="shared" si="50"/>
        <v>3.2608695652173912E-2</v>
      </c>
      <c r="O92" s="23">
        <f>IFERROR(Q92/100*P92,"")</f>
        <v>658272.1</v>
      </c>
      <c r="P92" s="23">
        <f>I92</f>
        <v>692918</v>
      </c>
      <c r="Q92" s="24">
        <f>95</f>
        <v>95</v>
      </c>
      <c r="R92" s="45">
        <f t="shared" si="51"/>
        <v>3.2608695652173912E-2</v>
      </c>
      <c r="S92" s="23">
        <f>IFERROR(U92/100*T92,"")</f>
        <v>658272.1</v>
      </c>
      <c r="T92" s="23">
        <f>I92</f>
        <v>692918</v>
      </c>
      <c r="U92" s="24">
        <f>95</f>
        <v>95</v>
      </c>
      <c r="V92" s="45">
        <f t="shared" si="52"/>
        <v>3.2608695652173912E-2</v>
      </c>
      <c r="W92" s="23">
        <f>IFERROR(Y92/100*X92,"")</f>
        <v>658272.1</v>
      </c>
      <c r="X92" s="23">
        <f>I92</f>
        <v>692918</v>
      </c>
      <c r="Y92" s="24">
        <f>95</f>
        <v>95</v>
      </c>
      <c r="Z92" s="45">
        <f t="shared" si="53"/>
        <v>3.2608695652173912E-2</v>
      </c>
      <c r="AA92" s="23">
        <f>IFERROR(AC92/100*AB92,"")</f>
        <v>658272.1</v>
      </c>
      <c r="AB92" s="23">
        <f>I92</f>
        <v>692918</v>
      </c>
      <c r="AC92" s="24">
        <f>95</f>
        <v>95</v>
      </c>
      <c r="AD92" s="45">
        <f t="shared" si="54"/>
        <v>3.2608695652173912E-2</v>
      </c>
      <c r="AE92" s="19" t="s">
        <v>176</v>
      </c>
      <c r="AF92" s="43"/>
    </row>
    <row r="93" spans="1:32" ht="116.25" customHeight="1" x14ac:dyDescent="0.3">
      <c r="A93" s="29" t="s">
        <v>123</v>
      </c>
      <c r="B93" s="30" t="s">
        <v>177</v>
      </c>
      <c r="C93" s="30" t="s">
        <v>178</v>
      </c>
      <c r="D93" s="30" t="s">
        <v>179</v>
      </c>
      <c r="E93" s="31" t="s">
        <v>180</v>
      </c>
      <c r="F93" s="32" t="s">
        <v>181</v>
      </c>
      <c r="G93" s="33">
        <v>2025</v>
      </c>
      <c r="H93" s="34">
        <v>25925</v>
      </c>
      <c r="I93" s="34">
        <v>29358</v>
      </c>
      <c r="J93" s="38">
        <f>IFERROR(H93/I93*100,"")</f>
        <v>88.306424143334013</v>
      </c>
      <c r="K93" s="34">
        <f>IFERROR(M93/100*L93,"")</f>
        <v>25988.199999999997</v>
      </c>
      <c r="L93" s="34">
        <f>'Spectrum Inputs'!C97</f>
        <v>27356</v>
      </c>
      <c r="M93" s="38">
        <f>95</f>
        <v>95</v>
      </c>
      <c r="N93" s="44">
        <f t="shared" si="50"/>
        <v>7.579942140790745E-2</v>
      </c>
      <c r="O93" s="34">
        <f>IFERROR(Q93/100*P93,"")</f>
        <v>24250.649999999998</v>
      </c>
      <c r="P93" s="34">
        <f>'Spectrum Inputs'!D97</f>
        <v>25527</v>
      </c>
      <c r="Q93" s="38">
        <f>95</f>
        <v>95</v>
      </c>
      <c r="R93" s="44">
        <f t="shared" si="51"/>
        <v>7.579942140790745E-2</v>
      </c>
      <c r="S93" s="34">
        <f>IFERROR(U93/100*T93,"")</f>
        <v>22589.1</v>
      </c>
      <c r="T93" s="34">
        <f>'Spectrum Inputs'!E97</f>
        <v>23778</v>
      </c>
      <c r="U93" s="38">
        <f>95</f>
        <v>95</v>
      </c>
      <c r="V93" s="44">
        <f t="shared" si="52"/>
        <v>7.579942140790745E-2</v>
      </c>
      <c r="W93" s="34">
        <f>IFERROR(Y93/100*X93,"")</f>
        <v>21115.649999999998</v>
      </c>
      <c r="X93" s="34">
        <f>'Spectrum Inputs'!F97</f>
        <v>22227</v>
      </c>
      <c r="Y93" s="38">
        <f>95</f>
        <v>95</v>
      </c>
      <c r="Z93" s="44">
        <f t="shared" si="53"/>
        <v>7.579942140790745E-2</v>
      </c>
      <c r="AA93" s="34">
        <f>IFERROR(AC93/100*AB93,"")</f>
        <v>19631.75</v>
      </c>
      <c r="AB93" s="34">
        <f>'Spectrum Inputs'!G97</f>
        <v>20665</v>
      </c>
      <c r="AC93" s="38">
        <f>95</f>
        <v>95</v>
      </c>
      <c r="AD93" s="44">
        <f t="shared" si="54"/>
        <v>7.579942140790745E-2</v>
      </c>
      <c r="AE93" s="30" t="s">
        <v>182</v>
      </c>
      <c r="AF93" s="43"/>
    </row>
    <row r="94" spans="1:32" ht="96.75" customHeight="1" x14ac:dyDescent="0.3">
      <c r="A94" s="18" t="s">
        <v>123</v>
      </c>
      <c r="B94" s="19" t="s">
        <v>183</v>
      </c>
      <c r="C94" s="19" t="s">
        <v>184</v>
      </c>
      <c r="D94" s="19" t="s">
        <v>185</v>
      </c>
      <c r="E94" s="20"/>
      <c r="F94" s="21" t="s">
        <v>19</v>
      </c>
      <c r="G94" s="22">
        <v>2025</v>
      </c>
      <c r="H94" s="23">
        <f>IFERROR(J94/100*I94,"")</f>
        <v>658818.9</v>
      </c>
      <c r="I94" s="23">
        <v>732021</v>
      </c>
      <c r="J94" s="24">
        <f>90</f>
        <v>90</v>
      </c>
      <c r="K94" s="23"/>
      <c r="L94" s="23"/>
      <c r="M94" s="24">
        <f>IFERROR(J94+(95-J94)*1/5,"")</f>
        <v>91</v>
      </c>
      <c r="N94" s="45"/>
      <c r="O94" s="23"/>
      <c r="P94" s="23"/>
      <c r="Q94" s="24">
        <f>IFERROR(J94+(95-J94)*2/5,"")</f>
        <v>92</v>
      </c>
      <c r="R94" s="45"/>
      <c r="S94" s="23"/>
      <c r="T94" s="23"/>
      <c r="U94" s="24">
        <f>IFERROR(J94+(95-J94)*3/5,"")</f>
        <v>93</v>
      </c>
      <c r="V94" s="45"/>
      <c r="W94" s="23"/>
      <c r="X94" s="23"/>
      <c r="Y94" s="24">
        <f>IFERROR(J94+(95-J94)*4/5,"")</f>
        <v>94</v>
      </c>
      <c r="Z94" s="45"/>
      <c r="AA94" s="23"/>
      <c r="AB94" s="23"/>
      <c r="AC94" s="24">
        <f>IFERROR(J94+(95-J94)*5/5,"")</f>
        <v>95</v>
      </c>
      <c r="AD94" s="45"/>
      <c r="AE94" s="19" t="s">
        <v>186</v>
      </c>
      <c r="AF94" s="43"/>
    </row>
    <row r="95" spans="1:32" ht="135" customHeight="1" x14ac:dyDescent="0.3">
      <c r="A95" s="29" t="s">
        <v>123</v>
      </c>
      <c r="B95" s="30" t="s">
        <v>187</v>
      </c>
      <c r="C95" s="30" t="s">
        <v>188</v>
      </c>
      <c r="D95" s="30" t="s">
        <v>189</v>
      </c>
      <c r="E95" s="31" t="s">
        <v>190</v>
      </c>
      <c r="F95" s="32" t="s">
        <v>19</v>
      </c>
      <c r="G95" s="33">
        <v>2025</v>
      </c>
      <c r="H95" s="34">
        <f>IFERROR(J95/100*I95,"")</f>
        <v>32401.468400000002</v>
      </c>
      <c r="I95" s="34">
        <f>'Spectrum Inputs'!B148</f>
        <v>49483</v>
      </c>
      <c r="J95" s="38">
        <f>65.48</f>
        <v>65.48</v>
      </c>
      <c r="K95" s="34">
        <f>IFERROR(M95/100*L95,"")</f>
        <v>35322.94472</v>
      </c>
      <c r="L95" s="34">
        <f>'Spectrum Inputs'!C148</f>
        <v>49483</v>
      </c>
      <c r="M95" s="38">
        <f>IFERROR(J95+(95-J95)*1/5,"")</f>
        <v>71.384</v>
      </c>
      <c r="N95" s="44">
        <f>IFERROR((M95-J95)/J95,"")</f>
        <v>9.016493585827727E-2</v>
      </c>
      <c r="O95" s="34">
        <f>IFERROR(Q95/100*P95,"")</f>
        <v>31820.242480000001</v>
      </c>
      <c r="P95" s="34">
        <f>'Spectrum Inputs'!D148</f>
        <v>41171</v>
      </c>
      <c r="Q95" s="38">
        <f>IFERROR(J95+(95-J95)*2/5,"")</f>
        <v>77.287999999999997</v>
      </c>
      <c r="R95" s="44">
        <f>IFERROR((Q95-J95)/J95,"")</f>
        <v>0.18032987171655454</v>
      </c>
      <c r="S95" s="34">
        <f>IFERROR(U95/100*T95,"")</f>
        <v>33671.130080000003</v>
      </c>
      <c r="T95" s="34">
        <f>'Spectrum Inputs'!E148</f>
        <v>40474</v>
      </c>
      <c r="U95" s="38">
        <f>IFERROR(J95+(95-J95)*3/5,"")</f>
        <v>83.192000000000007</v>
      </c>
      <c r="V95" s="44">
        <f>IFERROR((U95-J95)/J95,"")</f>
        <v>0.27049480757483202</v>
      </c>
      <c r="W95" s="34">
        <f>IFERROR(Y95/100*X95,"")</f>
        <v>36601.527760000004</v>
      </c>
      <c r="X95" s="34">
        <f>'Spectrum Inputs'!F148</f>
        <v>41081</v>
      </c>
      <c r="Y95" s="38">
        <f>IFERROR(J95+(95-J95)*4/5,"")</f>
        <v>89.096000000000004</v>
      </c>
      <c r="Z95" s="44">
        <f>IFERROR((Y95-J95)/J95,"")</f>
        <v>0.3606597434331093</v>
      </c>
      <c r="AA95" s="34">
        <f>IFERROR(AC95/100*AB95,"")</f>
        <v>39165.65</v>
      </c>
      <c r="AB95" s="34">
        <f>'Spectrum Inputs'!G148</f>
        <v>41227</v>
      </c>
      <c r="AC95" s="38">
        <f>IFERROR(J95+(95-J95)*5/5,"")</f>
        <v>95</v>
      </c>
      <c r="AD95" s="44">
        <f>IFERROR((AC95-J95)/J95,"")</f>
        <v>0.45082467929138659</v>
      </c>
      <c r="AE95" s="30" t="s">
        <v>191</v>
      </c>
      <c r="AF95" s="43"/>
    </row>
    <row r="96" spans="1:32" ht="96.75" customHeight="1" x14ac:dyDescent="0.3">
      <c r="A96" s="18" t="s">
        <v>123</v>
      </c>
      <c r="B96" s="19" t="s">
        <v>192</v>
      </c>
      <c r="C96" s="19" t="s">
        <v>193</v>
      </c>
      <c r="D96" s="19" t="s">
        <v>194</v>
      </c>
      <c r="E96" s="20" t="s">
        <v>195</v>
      </c>
      <c r="F96" s="21" t="s">
        <v>19</v>
      </c>
      <c r="G96" s="22">
        <v>2025</v>
      </c>
      <c r="H96" s="23"/>
      <c r="I96" s="23">
        <f>'Spectrum Inputs'!B148</f>
        <v>49483</v>
      </c>
      <c r="J96" s="24"/>
      <c r="K96" s="23"/>
      <c r="L96" s="23">
        <f>'Spectrum Inputs'!C148</f>
        <v>49483</v>
      </c>
      <c r="M96" s="24"/>
      <c r="N96" s="45"/>
      <c r="O96" s="23"/>
      <c r="P96" s="23">
        <f>'Spectrum Inputs'!D148</f>
        <v>41171</v>
      </c>
      <c r="Q96" s="24"/>
      <c r="R96" s="45"/>
      <c r="S96" s="23"/>
      <c r="T96" s="23">
        <f>'Spectrum Inputs'!E148</f>
        <v>40474</v>
      </c>
      <c r="U96" s="24"/>
      <c r="V96" s="45"/>
      <c r="W96" s="23"/>
      <c r="X96" s="23">
        <f>'Spectrum Inputs'!F148</f>
        <v>41081</v>
      </c>
      <c r="Y96" s="24"/>
      <c r="Z96" s="45"/>
      <c r="AA96" s="23"/>
      <c r="AB96" s="23">
        <f>'Spectrum Inputs'!G148</f>
        <v>41227</v>
      </c>
      <c r="AC96" s="24"/>
      <c r="AD96" s="45"/>
      <c r="AE96" s="19" t="s">
        <v>196</v>
      </c>
      <c r="AF96" s="43"/>
    </row>
    <row r="97" spans="1:32" ht="193.5" customHeight="1" x14ac:dyDescent="0.3">
      <c r="A97" s="29" t="s">
        <v>123</v>
      </c>
      <c r="B97" s="30" t="s">
        <v>197</v>
      </c>
      <c r="C97" s="30" t="s">
        <v>198</v>
      </c>
      <c r="D97" s="30" t="s">
        <v>194</v>
      </c>
      <c r="E97" s="31" t="s">
        <v>199</v>
      </c>
      <c r="F97" s="32" t="s">
        <v>19</v>
      </c>
      <c r="G97" s="33">
        <v>2025</v>
      </c>
      <c r="H97" s="34">
        <f>IFERROR(J97/100*I97,"")</f>
        <v>29689.8</v>
      </c>
      <c r="I97" s="34">
        <f>'Spectrum Inputs'!B148</f>
        <v>49483</v>
      </c>
      <c r="J97" s="38">
        <f>60</f>
        <v>60</v>
      </c>
      <c r="K97" s="34">
        <f>IFERROR(M97/100*L97,"")</f>
        <v>33153.61</v>
      </c>
      <c r="L97" s="34">
        <f>'Spectrum Inputs'!C148</f>
        <v>49483</v>
      </c>
      <c r="M97" s="38">
        <f>IFERROR(J97+(95-J97)*1/5,"")</f>
        <v>67</v>
      </c>
      <c r="N97" s="44">
        <f>IFERROR((M97-J97)/J97,"")</f>
        <v>0.11666666666666667</v>
      </c>
      <c r="O97" s="34">
        <f>IFERROR(Q97/100*P97,"")</f>
        <v>30466.54</v>
      </c>
      <c r="P97" s="34">
        <f>'Spectrum Inputs'!D148</f>
        <v>41171</v>
      </c>
      <c r="Q97" s="38">
        <f>IFERROR(J97+(95-J97)*2/5,"")</f>
        <v>74</v>
      </c>
      <c r="R97" s="44">
        <f>IFERROR((Q97-J97)/J97,"")</f>
        <v>0.23333333333333334</v>
      </c>
      <c r="S97" s="34">
        <f>IFERROR(U97/100*T97,"")</f>
        <v>32783.94</v>
      </c>
      <c r="T97" s="34">
        <f>'Spectrum Inputs'!E148</f>
        <v>40474</v>
      </c>
      <c r="U97" s="38">
        <f>IFERROR(J97+(95-J97)*3/5,"")</f>
        <v>81</v>
      </c>
      <c r="V97" s="44">
        <f>IFERROR((U97-J97)/J97,"")</f>
        <v>0.35</v>
      </c>
      <c r="W97" s="34">
        <f>IFERROR(Y97/100*X97,"")</f>
        <v>36151.279999999999</v>
      </c>
      <c r="X97" s="34">
        <f>'Spectrum Inputs'!F148</f>
        <v>41081</v>
      </c>
      <c r="Y97" s="38">
        <f>IFERROR(J97+(95-J97)*4/5,"")</f>
        <v>88</v>
      </c>
      <c r="Z97" s="44">
        <f>IFERROR((Y97-J97)/J97,"")</f>
        <v>0.46666666666666667</v>
      </c>
      <c r="AA97" s="34">
        <f>IFERROR(AC97/100*AB97,"")</f>
        <v>39165.65</v>
      </c>
      <c r="AB97" s="34">
        <f>'Spectrum Inputs'!G148</f>
        <v>41227</v>
      </c>
      <c r="AC97" s="38">
        <f>IFERROR(J97+(95-J97)*5/5,"")</f>
        <v>95</v>
      </c>
      <c r="AD97" s="44">
        <f>IFERROR((AC97-J97)/J97,"")</f>
        <v>0.58333333333333337</v>
      </c>
      <c r="AE97" s="30" t="s">
        <v>200</v>
      </c>
      <c r="AF97" s="43"/>
    </row>
  </sheetData>
  <mergeCells count="73">
    <mergeCell ref="A83:A89"/>
    <mergeCell ref="B83:B89"/>
    <mergeCell ref="C83:C89"/>
    <mergeCell ref="D83:D89"/>
    <mergeCell ref="AE83:AE89"/>
    <mergeCell ref="A72:A80"/>
    <mergeCell ref="B72:B80"/>
    <mergeCell ref="C72:C80"/>
    <mergeCell ref="D72:D80"/>
    <mergeCell ref="AE72:AE76"/>
    <mergeCell ref="AE79:AE80"/>
    <mergeCell ref="A61:A69"/>
    <mergeCell ref="B61:B69"/>
    <mergeCell ref="C61:C69"/>
    <mergeCell ref="D61:D69"/>
    <mergeCell ref="AE61:AE69"/>
    <mergeCell ref="A58:A59"/>
    <mergeCell ref="B58:B59"/>
    <mergeCell ref="C58:C59"/>
    <mergeCell ref="D58:D59"/>
    <mergeCell ref="A55:A56"/>
    <mergeCell ref="B55:B56"/>
    <mergeCell ref="C55:C56"/>
    <mergeCell ref="D55:D56"/>
    <mergeCell ref="AE55:AE56"/>
    <mergeCell ref="A48:A54"/>
    <mergeCell ref="B48:B54"/>
    <mergeCell ref="C48:C54"/>
    <mergeCell ref="D48:D54"/>
    <mergeCell ref="AE48:AE54"/>
    <mergeCell ref="A43:A47"/>
    <mergeCell ref="B43:B47"/>
    <mergeCell ref="C43:C47"/>
    <mergeCell ref="D43:D47"/>
    <mergeCell ref="AE45:AE47"/>
    <mergeCell ref="A38:A42"/>
    <mergeCell ref="B38:B42"/>
    <mergeCell ref="C38:C42"/>
    <mergeCell ref="D38:D42"/>
    <mergeCell ref="AE40:AE42"/>
    <mergeCell ref="A27:A36"/>
    <mergeCell ref="B27:B36"/>
    <mergeCell ref="C27:C36"/>
    <mergeCell ref="D27:D36"/>
    <mergeCell ref="AE27:AE36"/>
    <mergeCell ref="A18:A26"/>
    <mergeCell ref="B18:B26"/>
    <mergeCell ref="C18:C26"/>
    <mergeCell ref="D18:D26"/>
    <mergeCell ref="AE18:AE26"/>
    <mergeCell ref="A4:A17"/>
    <mergeCell ref="B4:B17"/>
    <mergeCell ref="C4:C17"/>
    <mergeCell ref="D4:D17"/>
    <mergeCell ref="AE4:AE13"/>
    <mergeCell ref="AE16:AE17"/>
    <mergeCell ref="AE1:AE3"/>
    <mergeCell ref="H2:J2"/>
    <mergeCell ref="K2:N2"/>
    <mergeCell ref="O2:R2"/>
    <mergeCell ref="S2:V2"/>
    <mergeCell ref="W2:Z2"/>
    <mergeCell ref="AA2:AD2"/>
    <mergeCell ref="K1:N1"/>
    <mergeCell ref="O1:R1"/>
    <mergeCell ref="S1:V1"/>
    <mergeCell ref="W1:Z1"/>
    <mergeCell ref="AA1:AD1"/>
    <mergeCell ref="A1:A3"/>
    <mergeCell ref="B1:B3"/>
    <mergeCell ref="C1:C3"/>
    <mergeCell ref="D1:D3"/>
    <mergeCell ref="G1:J1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F97"/>
  <sheetViews>
    <sheetView showGridLines="0" zoomScale="102" zoomScaleNormal="102" workbookViewId="0">
      <selection activeCell="C4" sqref="C4"/>
    </sheetView>
  </sheetViews>
  <sheetFormatPr defaultColWidth="8.81640625" defaultRowHeight="13" x14ac:dyDescent="0.3"/>
  <cols>
    <col min="1" max="1" width="12" style="6" customWidth="1"/>
    <col min="2" max="3" width="40" style="7" customWidth="1"/>
    <col min="4" max="4" width="32" style="8" customWidth="1"/>
    <col min="5" max="5" width="15" style="9" customWidth="1"/>
    <col min="6" max="6" width="22" style="10" customWidth="1"/>
    <col min="7" max="8" width="10" style="11" customWidth="1"/>
    <col min="9" max="9" width="11" style="9" customWidth="1"/>
    <col min="10" max="10" width="11" style="12" customWidth="1"/>
    <col min="11" max="11" width="11" style="11" customWidth="1"/>
    <col min="12" max="12" width="11" style="13" customWidth="1"/>
    <col min="13" max="13" width="11" style="9" customWidth="1"/>
    <col min="14" max="15" width="11" style="11" customWidth="1"/>
    <col min="16" max="17" width="11" style="9" customWidth="1"/>
    <col min="18" max="19" width="11" style="11" customWidth="1"/>
    <col min="20" max="21" width="11" style="9" customWidth="1"/>
    <col min="22" max="23" width="11" style="11" customWidth="1"/>
    <col min="24" max="25" width="11" style="9" customWidth="1"/>
    <col min="26" max="27" width="11" style="11" customWidth="1"/>
    <col min="28" max="29" width="11" style="9" customWidth="1"/>
    <col min="30" max="30" width="11" style="14" customWidth="1"/>
    <col min="31" max="31" width="34" style="9" customWidth="1"/>
    <col min="32" max="16384" width="8.81640625" style="9"/>
  </cols>
  <sheetData>
    <row r="1" spans="1:32" ht="19.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15"/>
      <c r="F1" s="15"/>
      <c r="G1" s="5"/>
      <c r="H1" s="5"/>
      <c r="I1" s="5"/>
      <c r="J1" s="5"/>
      <c r="K1" s="5">
        <v>2026</v>
      </c>
      <c r="L1" s="5"/>
      <c r="M1" s="5"/>
      <c r="N1" s="5"/>
      <c r="O1" s="5">
        <v>2027</v>
      </c>
      <c r="P1" s="5"/>
      <c r="Q1" s="5"/>
      <c r="R1" s="5"/>
      <c r="S1" s="5">
        <v>2028</v>
      </c>
      <c r="T1" s="5"/>
      <c r="U1" s="5"/>
      <c r="V1" s="5"/>
      <c r="W1" s="5">
        <v>2029</v>
      </c>
      <c r="X1" s="5"/>
      <c r="Y1" s="5"/>
      <c r="Z1" s="5"/>
      <c r="AA1" s="5">
        <v>2030</v>
      </c>
      <c r="AB1" s="5"/>
      <c r="AC1" s="5"/>
      <c r="AD1" s="5"/>
      <c r="AE1" s="5" t="s">
        <v>4</v>
      </c>
      <c r="AF1" s="15"/>
    </row>
    <row r="2" spans="1:32" ht="19.5" customHeight="1" x14ac:dyDescent="0.3">
      <c r="A2" s="5"/>
      <c r="B2" s="5"/>
      <c r="C2" s="5"/>
      <c r="D2" s="5"/>
      <c r="E2" s="15"/>
      <c r="F2" s="15"/>
      <c r="G2" s="16"/>
      <c r="H2" s="5" t="s">
        <v>5</v>
      </c>
      <c r="I2" s="5"/>
      <c r="J2" s="5"/>
      <c r="K2" s="5" t="s">
        <v>6</v>
      </c>
      <c r="L2" s="5"/>
      <c r="M2" s="5"/>
      <c r="N2" s="5"/>
      <c r="O2" s="5" t="s">
        <v>6</v>
      </c>
      <c r="P2" s="5"/>
      <c r="Q2" s="5"/>
      <c r="R2" s="5"/>
      <c r="S2" s="5" t="s">
        <v>6</v>
      </c>
      <c r="T2" s="5"/>
      <c r="U2" s="5"/>
      <c r="V2" s="5"/>
      <c r="W2" s="5" t="s">
        <v>6</v>
      </c>
      <c r="X2" s="5"/>
      <c r="Y2" s="5"/>
      <c r="Z2" s="5"/>
      <c r="AA2" s="5" t="s">
        <v>6</v>
      </c>
      <c r="AB2" s="5"/>
      <c r="AC2" s="5"/>
      <c r="AD2" s="5"/>
      <c r="AE2" s="5"/>
      <c r="AF2" s="15"/>
    </row>
    <row r="3" spans="1:32" ht="31.5" customHeight="1" x14ac:dyDescent="0.3">
      <c r="A3" s="5"/>
      <c r="B3" s="5"/>
      <c r="C3" s="5"/>
      <c r="D3" s="5"/>
      <c r="E3" s="15" t="s">
        <v>7</v>
      </c>
      <c r="F3" s="15" t="s">
        <v>8</v>
      </c>
      <c r="G3" s="15" t="s">
        <v>9</v>
      </c>
      <c r="H3" s="16" t="s">
        <v>10</v>
      </c>
      <c r="I3" s="16" t="s">
        <v>11</v>
      </c>
      <c r="J3" s="15" t="s">
        <v>12</v>
      </c>
      <c r="K3" s="16" t="s">
        <v>10</v>
      </c>
      <c r="L3" s="16" t="s">
        <v>11</v>
      </c>
      <c r="M3" s="15" t="s">
        <v>12</v>
      </c>
      <c r="N3" s="15" t="s">
        <v>13</v>
      </c>
      <c r="O3" s="16" t="s">
        <v>10</v>
      </c>
      <c r="P3" s="16" t="s">
        <v>11</v>
      </c>
      <c r="Q3" s="15" t="s">
        <v>12</v>
      </c>
      <c r="R3" s="15" t="s">
        <v>13</v>
      </c>
      <c r="S3" s="16" t="s">
        <v>10</v>
      </c>
      <c r="T3" s="16" t="s">
        <v>11</v>
      </c>
      <c r="U3" s="15" t="s">
        <v>12</v>
      </c>
      <c r="V3" s="15" t="s">
        <v>13</v>
      </c>
      <c r="W3" s="16" t="s">
        <v>10</v>
      </c>
      <c r="X3" s="16" t="s">
        <v>11</v>
      </c>
      <c r="Y3" s="15" t="s">
        <v>12</v>
      </c>
      <c r="Z3" s="15" t="s">
        <v>13</v>
      </c>
      <c r="AA3" s="16" t="s">
        <v>10</v>
      </c>
      <c r="AB3" s="16" t="s">
        <v>11</v>
      </c>
      <c r="AC3" s="15" t="s">
        <v>12</v>
      </c>
      <c r="AD3" s="15" t="s">
        <v>13</v>
      </c>
      <c r="AE3" s="5"/>
      <c r="AF3" s="15"/>
    </row>
    <row r="4" spans="1:32" s="17" customFormat="1" ht="77.25" hidden="1" customHeight="1" x14ac:dyDescent="0.35">
      <c r="A4" s="46" t="s">
        <v>14</v>
      </c>
      <c r="B4" s="47" t="s">
        <v>15</v>
      </c>
      <c r="C4" s="30" t="s">
        <v>16</v>
      </c>
      <c r="D4" s="30" t="s">
        <v>17</v>
      </c>
      <c r="E4" s="48" t="s">
        <v>18</v>
      </c>
      <c r="F4" s="33" t="s">
        <v>19</v>
      </c>
      <c r="G4" s="33">
        <v>2025</v>
      </c>
      <c r="H4" s="34">
        <f>'Spectrum Inputs'!B19</f>
        <v>1006960</v>
      </c>
      <c r="I4" s="34">
        <f>'Spectrum Inputs'!B5</f>
        <v>22382444</v>
      </c>
      <c r="J4" s="38">
        <f t="shared" ref="J4:J17" si="0">IFERROR(H4/I4*100,"")</f>
        <v>4.4988831425200928</v>
      </c>
      <c r="K4" s="34">
        <f>'Spectrum Inputs'!C19</f>
        <v>1000821</v>
      </c>
      <c r="L4" s="34">
        <f>'Spectrum Inputs'!C5</f>
        <v>22950681</v>
      </c>
      <c r="M4" s="38">
        <f t="shared" ref="M4:M13" si="1">IFERROR(K4/L4*100,"")</f>
        <v>4.3607464196814032</v>
      </c>
      <c r="N4" s="54">
        <f t="shared" ref="N4:N37" si="2">IFERROR((M4-J4)/J4,"")</f>
        <v>-3.0704670128709099E-2</v>
      </c>
      <c r="O4" s="34">
        <f>'Spectrum Inputs'!D19</f>
        <v>994527</v>
      </c>
      <c r="P4" s="34">
        <f>'Spectrum Inputs'!D5</f>
        <v>23528994</v>
      </c>
      <c r="Q4" s="38">
        <f t="shared" ref="Q4:Q13" si="3">IFERROR(O4/P4*100,"")</f>
        <v>4.226814797096722</v>
      </c>
      <c r="R4" s="54">
        <f t="shared" ref="R4:R37" si="4">IFERROR((Q4-J4)/J4,"")</f>
        <v>-6.047464155091814E-2</v>
      </c>
      <c r="S4" s="34">
        <f>'Spectrum Inputs'!E19</f>
        <v>988232</v>
      </c>
      <c r="T4" s="34">
        <f>'Spectrum Inputs'!E5</f>
        <v>24112115</v>
      </c>
      <c r="U4" s="38">
        <f t="shared" ref="U4:U13" si="5">IFERROR(S4/T4*100,"")</f>
        <v>4.0984874201205495</v>
      </c>
      <c r="V4" s="54">
        <f t="shared" ref="V4:V37" si="6">IFERROR((U4-J4)/J4,"")</f>
        <v>-8.8998915889879682E-2</v>
      </c>
      <c r="W4" s="34">
        <f>'Spectrum Inputs'!F19</f>
        <v>982367</v>
      </c>
      <c r="X4" s="34">
        <f>'Spectrum Inputs'!F5</f>
        <v>24711970</v>
      </c>
      <c r="Y4" s="38">
        <f t="shared" ref="Y4:Y13" si="7">IFERROR(W4/X4*100,"")</f>
        <v>3.9752678560228101</v>
      </c>
      <c r="Z4" s="54">
        <f t="shared" ref="Z4:Z37" si="8">IFERROR((Y4-J4)/J4,"")</f>
        <v>-0.11638783891683271</v>
      </c>
      <c r="AA4" s="34">
        <f>'Spectrum Inputs'!G19</f>
        <v>976493</v>
      </c>
      <c r="AB4" s="34">
        <f>'Spectrum Inputs'!G5</f>
        <v>25310548</v>
      </c>
      <c r="AC4" s="38">
        <f t="shared" ref="AC4:AC13" si="9">IFERROR(AA4/AB4*100,"")</f>
        <v>3.8580476408491826</v>
      </c>
      <c r="AD4" s="54">
        <f t="shared" ref="AD4:AD37" si="10">IFERROR((AC4-J4)/J4,"")</f>
        <v>-0.14244324232701452</v>
      </c>
      <c r="AE4" s="30" t="s">
        <v>20</v>
      </c>
      <c r="AF4" s="26"/>
    </row>
    <row r="5" spans="1:32" s="17" customFormat="1" ht="77.25" hidden="1" customHeight="1" x14ac:dyDescent="0.35">
      <c r="A5" s="46" t="s">
        <v>14</v>
      </c>
      <c r="B5" s="47" t="s">
        <v>15</v>
      </c>
      <c r="C5" s="30" t="s">
        <v>16</v>
      </c>
      <c r="D5" s="30" t="s">
        <v>17</v>
      </c>
      <c r="E5" s="48"/>
      <c r="F5" s="33" t="s">
        <v>21</v>
      </c>
      <c r="G5" s="33">
        <v>2025</v>
      </c>
      <c r="H5" s="34">
        <f>'Spectrum Inputs'!B20</f>
        <v>7076</v>
      </c>
      <c r="I5" s="34">
        <f>'Spectrum Inputs'!B6</f>
        <v>3195757</v>
      </c>
      <c r="J5" s="38">
        <f t="shared" si="0"/>
        <v>0.22141858720797608</v>
      </c>
      <c r="K5" s="34">
        <f>'Spectrum Inputs'!C20</f>
        <v>6349</v>
      </c>
      <c r="L5" s="34">
        <f>'Spectrum Inputs'!C6</f>
        <v>3243142</v>
      </c>
      <c r="M5" s="38">
        <f t="shared" si="1"/>
        <v>0.19576694452478491</v>
      </c>
      <c r="N5" s="54">
        <f t="shared" si="2"/>
        <v>-0.11585135198743213</v>
      </c>
      <c r="O5" s="34">
        <f>'Spectrum Inputs'!D20</f>
        <v>5588</v>
      </c>
      <c r="P5" s="34">
        <f>'Spectrum Inputs'!D6</f>
        <v>3291453</v>
      </c>
      <c r="Q5" s="38">
        <f t="shared" si="3"/>
        <v>0.16977304552123332</v>
      </c>
      <c r="R5" s="54">
        <f t="shared" si="4"/>
        <v>-0.2332484473773318</v>
      </c>
      <c r="S5" s="34">
        <f>'Spectrum Inputs'!E20</f>
        <v>5215</v>
      </c>
      <c r="T5" s="34">
        <f>'Spectrum Inputs'!E6</f>
        <v>3338532</v>
      </c>
      <c r="U5" s="38">
        <f t="shared" si="5"/>
        <v>0.15620638052892707</v>
      </c>
      <c r="V5" s="54">
        <f t="shared" si="6"/>
        <v>-0.29452001975694969</v>
      </c>
      <c r="W5" s="34">
        <f>'Spectrum Inputs'!F20</f>
        <v>4932</v>
      </c>
      <c r="X5" s="34">
        <f>'Spectrum Inputs'!F6</f>
        <v>3385254</v>
      </c>
      <c r="Y5" s="38">
        <f t="shared" si="7"/>
        <v>0.14569069263340356</v>
      </c>
      <c r="Z5" s="54">
        <f t="shared" si="8"/>
        <v>-0.34201236458726986</v>
      </c>
      <c r="AA5" s="34">
        <f>'Spectrum Inputs'!G20</f>
        <v>4684</v>
      </c>
      <c r="AB5" s="34">
        <f>'Spectrum Inputs'!G6</f>
        <v>3426448</v>
      </c>
      <c r="AC5" s="38">
        <f t="shared" si="9"/>
        <v>0.13670133035726795</v>
      </c>
      <c r="AD5" s="54">
        <f t="shared" si="10"/>
        <v>-0.38261131515184915</v>
      </c>
      <c r="AE5" s="30" t="s">
        <v>20</v>
      </c>
      <c r="AF5" s="26"/>
    </row>
    <row r="6" spans="1:32" s="17" customFormat="1" ht="77.25" hidden="1" customHeight="1" x14ac:dyDescent="0.35">
      <c r="A6" s="46" t="s">
        <v>14</v>
      </c>
      <c r="B6" s="47" t="s">
        <v>15</v>
      </c>
      <c r="C6" s="30" t="s">
        <v>16</v>
      </c>
      <c r="D6" s="30" t="s">
        <v>17</v>
      </c>
      <c r="E6" s="48"/>
      <c r="F6" s="33" t="s">
        <v>22</v>
      </c>
      <c r="G6" s="33">
        <v>2025</v>
      </c>
      <c r="H6" s="34">
        <f>'Spectrum Inputs'!B21</f>
        <v>35041</v>
      </c>
      <c r="I6" s="34">
        <f>'Spectrum Inputs'!B7</f>
        <v>5744654</v>
      </c>
      <c r="J6" s="38">
        <f t="shared" si="0"/>
        <v>0.60997581403510115</v>
      </c>
      <c r="K6" s="34">
        <f>'Spectrum Inputs'!C21</f>
        <v>30558</v>
      </c>
      <c r="L6" s="34">
        <f>'Spectrum Inputs'!C7</f>
        <v>5801465</v>
      </c>
      <c r="M6" s="38">
        <f t="shared" si="1"/>
        <v>0.5267290244791617</v>
      </c>
      <c r="N6" s="54">
        <f t="shared" si="2"/>
        <v>-0.13647555794916977</v>
      </c>
      <c r="O6" s="34">
        <f>'Spectrum Inputs'!D21</f>
        <v>26527</v>
      </c>
      <c r="P6" s="34">
        <f>'Spectrum Inputs'!D7</f>
        <v>5864445</v>
      </c>
      <c r="Q6" s="38">
        <f t="shared" si="3"/>
        <v>0.45233606931261189</v>
      </c>
      <c r="R6" s="54">
        <f t="shared" si="4"/>
        <v>-0.25843605778346135</v>
      </c>
      <c r="S6" s="34">
        <f>'Spectrum Inputs'!E21</f>
        <v>22780</v>
      </c>
      <c r="T6" s="34">
        <f>'Spectrum Inputs'!E7</f>
        <v>5929584</v>
      </c>
      <c r="U6" s="38">
        <f t="shared" si="5"/>
        <v>0.38417534855733559</v>
      </c>
      <c r="V6" s="54">
        <f t="shared" si="6"/>
        <v>-0.37017937479201729</v>
      </c>
      <c r="W6" s="34">
        <f>'Spectrum Inputs'!F21</f>
        <v>19560</v>
      </c>
      <c r="X6" s="34">
        <f>'Spectrum Inputs'!F7</f>
        <v>6007105</v>
      </c>
      <c r="Y6" s="38">
        <f t="shared" si="7"/>
        <v>0.32561441825971077</v>
      </c>
      <c r="Z6" s="54">
        <f t="shared" si="8"/>
        <v>-0.46618470639727161</v>
      </c>
      <c r="AA6" s="34">
        <f>'Spectrum Inputs'!G21</f>
        <v>17038</v>
      </c>
      <c r="AB6" s="34">
        <f>'Spectrum Inputs'!G7</f>
        <v>6095185</v>
      </c>
      <c r="AC6" s="38">
        <f t="shared" si="9"/>
        <v>0.27953212248684822</v>
      </c>
      <c r="AD6" s="54">
        <f t="shared" si="10"/>
        <v>-0.54173244896762007</v>
      </c>
      <c r="AE6" s="30" t="s">
        <v>20</v>
      </c>
      <c r="AF6" s="26"/>
    </row>
    <row r="7" spans="1:32" s="17" customFormat="1" ht="77.25" hidden="1" customHeight="1" x14ac:dyDescent="0.35">
      <c r="A7" s="46" t="s">
        <v>14</v>
      </c>
      <c r="B7" s="47" t="s">
        <v>15</v>
      </c>
      <c r="C7" s="30" t="s">
        <v>16</v>
      </c>
      <c r="D7" s="30" t="s">
        <v>17</v>
      </c>
      <c r="E7" s="48"/>
      <c r="F7" s="33" t="s">
        <v>23</v>
      </c>
      <c r="G7" s="33">
        <v>2025</v>
      </c>
      <c r="H7" s="34">
        <f>'Spectrum Inputs'!B22</f>
        <v>964843</v>
      </c>
      <c r="I7" s="34">
        <f>'Spectrum Inputs'!B8</f>
        <v>13442033</v>
      </c>
      <c r="J7" s="38">
        <f t="shared" si="0"/>
        <v>7.1778056191351416</v>
      </c>
      <c r="K7" s="34">
        <f>'Spectrum Inputs'!C22</f>
        <v>963914</v>
      </c>
      <c r="L7" s="34">
        <f>'Spectrum Inputs'!C8</f>
        <v>13906074</v>
      </c>
      <c r="M7" s="38">
        <f t="shared" si="1"/>
        <v>6.93160413212241</v>
      </c>
      <c r="N7" s="54">
        <f t="shared" si="2"/>
        <v>-3.4300383721229351E-2</v>
      </c>
      <c r="O7" s="34">
        <f>'Spectrum Inputs'!D22</f>
        <v>962412</v>
      </c>
      <c r="P7" s="34">
        <f>'Spectrum Inputs'!D8</f>
        <v>14373096</v>
      </c>
      <c r="Q7" s="38">
        <f t="shared" si="3"/>
        <v>6.6959268900729532</v>
      </c>
      <c r="R7" s="54">
        <f t="shared" si="4"/>
        <v>-6.7134547051198951E-2</v>
      </c>
      <c r="S7" s="34">
        <f>'Spectrum Inputs'!E22</f>
        <v>960237</v>
      </c>
      <c r="T7" s="34">
        <f>'Spectrum Inputs'!E8</f>
        <v>14843999</v>
      </c>
      <c r="U7" s="38">
        <f t="shared" si="5"/>
        <v>6.4688565392654631</v>
      </c>
      <c r="V7" s="54">
        <f t="shared" si="6"/>
        <v>-9.8769612537250653E-2</v>
      </c>
      <c r="W7" s="34">
        <f>'Spectrum Inputs'!F22</f>
        <v>957875</v>
      </c>
      <c r="X7" s="34">
        <f>'Spectrum Inputs'!F8</f>
        <v>15319611</v>
      </c>
      <c r="Y7" s="38">
        <f t="shared" si="7"/>
        <v>6.252606544643986</v>
      </c>
      <c r="Z7" s="54">
        <f t="shared" si="8"/>
        <v>-0.12889720390653786</v>
      </c>
      <c r="AA7" s="34">
        <f>'Spectrum Inputs'!G22</f>
        <v>954771</v>
      </c>
      <c r="AB7" s="34">
        <f>'Spectrum Inputs'!G8</f>
        <v>15788915</v>
      </c>
      <c r="AC7" s="38">
        <f t="shared" si="9"/>
        <v>6.047096966447663</v>
      </c>
      <c r="AD7" s="54">
        <f t="shared" si="10"/>
        <v>-0.15752845823424769</v>
      </c>
      <c r="AE7" s="30" t="s">
        <v>20</v>
      </c>
      <c r="AF7" s="26"/>
    </row>
    <row r="8" spans="1:32" s="17" customFormat="1" ht="77.25" hidden="1" customHeight="1" x14ac:dyDescent="0.35">
      <c r="A8" s="46" t="s">
        <v>14</v>
      </c>
      <c r="B8" s="47" t="s">
        <v>15</v>
      </c>
      <c r="C8" s="30" t="s">
        <v>16</v>
      </c>
      <c r="D8" s="30" t="s">
        <v>17</v>
      </c>
      <c r="E8" s="48"/>
      <c r="F8" s="33" t="s">
        <v>24</v>
      </c>
      <c r="G8" s="33">
        <v>2025</v>
      </c>
      <c r="H8" s="34">
        <f>'Spectrum Inputs'!B23</f>
        <v>646519</v>
      </c>
      <c r="I8" s="34">
        <f>'Spectrum Inputs'!B9</f>
        <v>11419581</v>
      </c>
      <c r="J8" s="38">
        <f t="shared" si="0"/>
        <v>5.6614949357599027</v>
      </c>
      <c r="K8" s="34">
        <f>'Spectrum Inputs'!C23</f>
        <v>644553</v>
      </c>
      <c r="L8" s="34">
        <f>'Spectrum Inputs'!C9</f>
        <v>11706783</v>
      </c>
      <c r="M8" s="38">
        <f t="shared" si="1"/>
        <v>5.5058080430806653</v>
      </c>
      <c r="N8" s="54">
        <f t="shared" si="2"/>
        <v>-2.7499254957531929E-2</v>
      </c>
      <c r="O8" s="34">
        <f>'Spectrum Inputs'!D23</f>
        <v>642448</v>
      </c>
      <c r="P8" s="34">
        <f>'Spectrum Inputs'!D9</f>
        <v>11999216</v>
      </c>
      <c r="Q8" s="38">
        <f t="shared" si="3"/>
        <v>5.3540831334313843</v>
      </c>
      <c r="R8" s="54">
        <f t="shared" si="4"/>
        <v>-5.4298697749741373E-2</v>
      </c>
      <c r="S8" s="34">
        <f>'Spectrum Inputs'!E23</f>
        <v>640331</v>
      </c>
      <c r="T8" s="34">
        <f>'Spectrum Inputs'!E9</f>
        <v>12294348</v>
      </c>
      <c r="U8" s="38">
        <f t="shared" si="5"/>
        <v>5.2083363835154168</v>
      </c>
      <c r="V8" s="54">
        <f t="shared" si="6"/>
        <v>-8.0042207471066398E-2</v>
      </c>
      <c r="W8" s="34">
        <f>'Spectrum Inputs'!F23</f>
        <v>638449</v>
      </c>
      <c r="X8" s="34">
        <f>'Spectrum Inputs'!F9</f>
        <v>12597774</v>
      </c>
      <c r="Y8" s="38">
        <f t="shared" si="7"/>
        <v>5.0679508935467483</v>
      </c>
      <c r="Z8" s="54">
        <f t="shared" si="8"/>
        <v>-0.10483874823664169</v>
      </c>
      <c r="AA8" s="34">
        <f>'Spectrum Inputs'!G23</f>
        <v>636518</v>
      </c>
      <c r="AB8" s="34">
        <f>'Spectrum Inputs'!G9</f>
        <v>12900866</v>
      </c>
      <c r="AC8" s="38">
        <f t="shared" si="9"/>
        <v>4.9339168393811699</v>
      </c>
      <c r="AD8" s="54">
        <f t="shared" si="10"/>
        <v>-0.12851342350994704</v>
      </c>
      <c r="AE8" s="30" t="s">
        <v>20</v>
      </c>
      <c r="AF8" s="26"/>
    </row>
    <row r="9" spans="1:32" s="17" customFormat="1" ht="77.25" hidden="1" customHeight="1" x14ac:dyDescent="0.35">
      <c r="A9" s="46" t="s">
        <v>14</v>
      </c>
      <c r="B9" s="47" t="s">
        <v>15</v>
      </c>
      <c r="C9" s="30" t="s">
        <v>16</v>
      </c>
      <c r="D9" s="30" t="s">
        <v>17</v>
      </c>
      <c r="E9" s="48"/>
      <c r="F9" s="33" t="s">
        <v>25</v>
      </c>
      <c r="G9" s="33">
        <v>2025</v>
      </c>
      <c r="H9" s="34">
        <f>'Spectrum Inputs'!B24</f>
        <v>360439</v>
      </c>
      <c r="I9" s="34">
        <f>'Spectrum Inputs'!B10</f>
        <v>10962864</v>
      </c>
      <c r="J9" s="38">
        <f t="shared" si="0"/>
        <v>3.287817854896312</v>
      </c>
      <c r="K9" s="34">
        <f>'Spectrum Inputs'!C24</f>
        <v>356269</v>
      </c>
      <c r="L9" s="34">
        <f>'Spectrum Inputs'!C10</f>
        <v>11243897</v>
      </c>
      <c r="M9" s="38">
        <f t="shared" si="1"/>
        <v>3.168554461144566</v>
      </c>
      <c r="N9" s="54">
        <f t="shared" si="2"/>
        <v>-3.6274331187214508E-2</v>
      </c>
      <c r="O9" s="34">
        <f>'Spectrum Inputs'!D24</f>
        <v>352082</v>
      </c>
      <c r="P9" s="34">
        <f>'Spectrum Inputs'!D10</f>
        <v>11529779</v>
      </c>
      <c r="Q9" s="38">
        <f t="shared" si="3"/>
        <v>3.0536751831930169</v>
      </c>
      <c r="R9" s="54">
        <f t="shared" si="4"/>
        <v>-7.1215219953442099E-2</v>
      </c>
      <c r="S9" s="34">
        <f>'Spectrum Inputs'!E24</f>
        <v>347899</v>
      </c>
      <c r="T9" s="34">
        <f>'Spectrum Inputs'!E10</f>
        <v>11817768</v>
      </c>
      <c r="U9" s="38">
        <f t="shared" si="5"/>
        <v>2.9438638497557239</v>
      </c>
      <c r="V9" s="54">
        <f t="shared" si="6"/>
        <v>-0.1046146776739356</v>
      </c>
      <c r="W9" s="34">
        <f>'Spectrum Inputs'!F24</f>
        <v>343919</v>
      </c>
      <c r="X9" s="34">
        <f>'Spectrum Inputs'!F10</f>
        <v>12114196</v>
      </c>
      <c r="Y9" s="38">
        <f t="shared" si="7"/>
        <v>2.8389750339188833</v>
      </c>
      <c r="Z9" s="54">
        <f t="shared" si="8"/>
        <v>-0.1365169363956702</v>
      </c>
      <c r="AA9" s="34">
        <f>'Spectrum Inputs'!G24</f>
        <v>339977</v>
      </c>
      <c r="AB9" s="34">
        <f>'Spectrum Inputs'!G10</f>
        <v>12409685</v>
      </c>
      <c r="AC9" s="38">
        <f t="shared" si="9"/>
        <v>2.7396102318471423</v>
      </c>
      <c r="AD9" s="54">
        <f t="shared" si="10"/>
        <v>-0.16673904919421351</v>
      </c>
      <c r="AE9" s="30" t="s">
        <v>20</v>
      </c>
      <c r="AF9" s="26"/>
    </row>
    <row r="10" spans="1:32" s="17" customFormat="1" ht="77.25" hidden="1" customHeight="1" x14ac:dyDescent="0.35">
      <c r="A10" s="46" t="s">
        <v>14</v>
      </c>
      <c r="B10" s="47" t="s">
        <v>15</v>
      </c>
      <c r="C10" s="30" t="s">
        <v>16</v>
      </c>
      <c r="D10" s="30" t="s">
        <v>17</v>
      </c>
      <c r="E10" s="48"/>
      <c r="F10" s="33" t="s">
        <v>26</v>
      </c>
      <c r="G10" s="33">
        <v>2025</v>
      </c>
      <c r="H10" s="34">
        <f>'Spectrum Inputs'!B25</f>
        <v>20912</v>
      </c>
      <c r="I10" s="34">
        <f>'Spectrum Inputs'!B11</f>
        <v>1330397</v>
      </c>
      <c r="J10" s="38">
        <f t="shared" si="0"/>
        <v>1.5718616322796881</v>
      </c>
      <c r="K10" s="34">
        <f>'Spectrum Inputs'!C25</f>
        <v>19681</v>
      </c>
      <c r="L10" s="34">
        <f>'Spectrum Inputs'!C11</f>
        <v>1353435</v>
      </c>
      <c r="M10" s="38">
        <f t="shared" si="1"/>
        <v>1.4541518432728575</v>
      </c>
      <c r="N10" s="54">
        <f t="shared" si="2"/>
        <v>-7.4885592083645938E-2</v>
      </c>
      <c r="O10" s="34">
        <f>'Spectrum Inputs'!D25</f>
        <v>18480</v>
      </c>
      <c r="P10" s="34">
        <f>'Spectrum Inputs'!D11</f>
        <v>1371236</v>
      </c>
      <c r="Q10" s="38">
        <f t="shared" si="3"/>
        <v>1.3476892380305068</v>
      </c>
      <c r="R10" s="54">
        <f t="shared" si="4"/>
        <v>-0.14261585730294954</v>
      </c>
      <c r="S10" s="34">
        <f>'Spectrum Inputs'!E25</f>
        <v>17321</v>
      </c>
      <c r="T10" s="34">
        <f>'Spectrum Inputs'!E11</f>
        <v>1386218</v>
      </c>
      <c r="U10" s="38">
        <f t="shared" si="5"/>
        <v>1.2495148670699701</v>
      </c>
      <c r="V10" s="54">
        <f t="shared" si="6"/>
        <v>-0.20507324473733418</v>
      </c>
      <c r="W10" s="34">
        <f>'Spectrum Inputs'!F25</f>
        <v>16052</v>
      </c>
      <c r="X10" s="34">
        <f>'Spectrum Inputs'!F11</f>
        <v>1396856</v>
      </c>
      <c r="Y10" s="38">
        <f t="shared" si="7"/>
        <v>1.1491520958495365</v>
      </c>
      <c r="Z10" s="54">
        <f t="shared" si="8"/>
        <v>-0.26892286684107897</v>
      </c>
      <c r="AA10" s="34">
        <f>'Spectrum Inputs'!G25</f>
        <v>14586</v>
      </c>
      <c r="AB10" s="34">
        <f>'Spectrum Inputs'!G11</f>
        <v>1404326</v>
      </c>
      <c r="AC10" s="38">
        <f t="shared" si="9"/>
        <v>1.038647721398023</v>
      </c>
      <c r="AD10" s="54">
        <f t="shared" si="10"/>
        <v>-0.3392244583948138</v>
      </c>
      <c r="AE10" s="30" t="s">
        <v>20</v>
      </c>
      <c r="AF10" s="26"/>
    </row>
    <row r="11" spans="1:32" s="17" customFormat="1" ht="77.25" hidden="1" customHeight="1" x14ac:dyDescent="0.35">
      <c r="A11" s="46" t="s">
        <v>14</v>
      </c>
      <c r="B11" s="47" t="s">
        <v>15</v>
      </c>
      <c r="C11" s="30" t="s">
        <v>16</v>
      </c>
      <c r="D11" s="30" t="s">
        <v>17</v>
      </c>
      <c r="E11" s="48"/>
      <c r="F11" s="33" t="s">
        <v>27</v>
      </c>
      <c r="G11" s="33">
        <v>2025</v>
      </c>
      <c r="H11" s="34">
        <f>'Spectrum Inputs'!B26</f>
        <v>34238</v>
      </c>
      <c r="I11" s="34">
        <f>'Spectrum Inputs'!B12</f>
        <v>1126696</v>
      </c>
      <c r="J11" s="38">
        <f t="shared" si="0"/>
        <v>3.0387966230465007</v>
      </c>
      <c r="K11" s="34">
        <f>'Spectrum Inputs'!C26</f>
        <v>32669</v>
      </c>
      <c r="L11" s="34">
        <f>'Spectrum Inputs'!C12</f>
        <v>1170408</v>
      </c>
      <c r="M11" s="38">
        <f t="shared" si="1"/>
        <v>2.7912488636441308</v>
      </c>
      <c r="N11" s="54">
        <f t="shared" si="2"/>
        <v>-8.1462430728317214E-2</v>
      </c>
      <c r="O11" s="34">
        <f>'Spectrum Inputs'!D26</f>
        <v>31337</v>
      </c>
      <c r="P11" s="34">
        <f>'Spectrum Inputs'!D12</f>
        <v>1213519</v>
      </c>
      <c r="Q11" s="38">
        <f t="shared" si="3"/>
        <v>2.5823246277973397</v>
      </c>
      <c r="R11" s="54">
        <f t="shared" si="4"/>
        <v>-0.15021472374532643</v>
      </c>
      <c r="S11" s="34">
        <f>'Spectrum Inputs'!E26</f>
        <v>30050</v>
      </c>
      <c r="T11" s="34">
        <f>'Spectrum Inputs'!E12</f>
        <v>1253971</v>
      </c>
      <c r="U11" s="38">
        <f t="shared" si="5"/>
        <v>2.396387157278757</v>
      </c>
      <c r="V11" s="54">
        <f t="shared" si="6"/>
        <v>-0.21140258643689869</v>
      </c>
      <c r="W11" s="34">
        <f>'Spectrum Inputs'!F26</f>
        <v>28891</v>
      </c>
      <c r="X11" s="34">
        <f>'Spectrum Inputs'!F12</f>
        <v>1289970</v>
      </c>
      <c r="Y11" s="38">
        <f t="shared" si="7"/>
        <v>2.2396644883214338</v>
      </c>
      <c r="Z11" s="54">
        <f t="shared" si="8"/>
        <v>-0.26297651138097838</v>
      </c>
      <c r="AA11" s="34">
        <f>'Spectrum Inputs'!G26</f>
        <v>27827</v>
      </c>
      <c r="AB11" s="34">
        <f>'Spectrum Inputs'!G12</f>
        <v>1318466</v>
      </c>
      <c r="AC11" s="38">
        <f t="shared" si="9"/>
        <v>2.1105587857403982</v>
      </c>
      <c r="AD11" s="54">
        <f t="shared" si="10"/>
        <v>-0.30546231039822314</v>
      </c>
      <c r="AE11" s="30" t="s">
        <v>20</v>
      </c>
      <c r="AF11" s="26"/>
    </row>
    <row r="12" spans="1:32" s="17" customFormat="1" ht="77.25" hidden="1" customHeight="1" x14ac:dyDescent="0.35">
      <c r="A12" s="46" t="s">
        <v>14</v>
      </c>
      <c r="B12" s="47" t="s">
        <v>15</v>
      </c>
      <c r="C12" s="30" t="s">
        <v>16</v>
      </c>
      <c r="D12" s="30" t="s">
        <v>17</v>
      </c>
      <c r="E12" s="48"/>
      <c r="F12" s="33" t="s">
        <v>28</v>
      </c>
      <c r="G12" s="33">
        <v>2025</v>
      </c>
      <c r="H12" s="34">
        <f>'Spectrum Inputs'!B27</f>
        <v>15860</v>
      </c>
      <c r="I12" s="34">
        <f>'Spectrum Inputs'!B13</f>
        <v>1310146</v>
      </c>
      <c r="J12" s="38">
        <f t="shared" si="0"/>
        <v>1.2105521064064615</v>
      </c>
      <c r="K12" s="34">
        <f>'Spectrum Inputs'!C27</f>
        <v>15059</v>
      </c>
      <c r="L12" s="34">
        <f>'Spectrum Inputs'!C13</f>
        <v>1334948</v>
      </c>
      <c r="M12" s="38">
        <f t="shared" si="1"/>
        <v>1.1280589206470963</v>
      </c>
      <c r="N12" s="54">
        <f t="shared" si="2"/>
        <v>-6.8145092906613636E-2</v>
      </c>
      <c r="O12" s="34">
        <f>'Spectrum Inputs'!D27</f>
        <v>14224</v>
      </c>
      <c r="P12" s="34">
        <f>'Spectrum Inputs'!D13</f>
        <v>1354681</v>
      </c>
      <c r="Q12" s="38">
        <f t="shared" si="3"/>
        <v>1.0499888903734533</v>
      </c>
      <c r="R12" s="54">
        <f t="shared" si="4"/>
        <v>-0.1326363526057891</v>
      </c>
      <c r="S12" s="34">
        <f>'Spectrum Inputs'!E27</f>
        <v>13344</v>
      </c>
      <c r="T12" s="34">
        <f>'Spectrum Inputs'!E13</f>
        <v>1372027</v>
      </c>
      <c r="U12" s="38">
        <f t="shared" si="5"/>
        <v>0.97257561257905278</v>
      </c>
      <c r="V12" s="54">
        <f t="shared" si="6"/>
        <v>-0.19658508920681225</v>
      </c>
      <c r="W12" s="34">
        <f>'Spectrum Inputs'!F27</f>
        <v>12283</v>
      </c>
      <c r="X12" s="34">
        <f>'Spectrum Inputs'!F13</f>
        <v>1385244</v>
      </c>
      <c r="Y12" s="38">
        <f t="shared" si="7"/>
        <v>0.88670299239700723</v>
      </c>
      <c r="Z12" s="54">
        <f t="shared" si="8"/>
        <v>-0.26752182933356272</v>
      </c>
      <c r="AA12" s="34">
        <f>'Spectrum Inputs'!G27</f>
        <v>10952</v>
      </c>
      <c r="AB12" s="34">
        <f>'Spectrum Inputs'!G13</f>
        <v>1395124</v>
      </c>
      <c r="AC12" s="38">
        <f t="shared" si="9"/>
        <v>0.78501982619466082</v>
      </c>
      <c r="AD12" s="54">
        <f t="shared" si="10"/>
        <v>-0.35151917704310837</v>
      </c>
      <c r="AE12" s="30" t="s">
        <v>20</v>
      </c>
      <c r="AF12" s="26"/>
    </row>
    <row r="13" spans="1:32" s="17" customFormat="1" ht="77.25" hidden="1" customHeight="1" x14ac:dyDescent="0.35">
      <c r="A13" s="46" t="s">
        <v>14</v>
      </c>
      <c r="B13" s="47" t="s">
        <v>15</v>
      </c>
      <c r="C13" s="30" t="s">
        <v>16</v>
      </c>
      <c r="D13" s="30" t="s">
        <v>17</v>
      </c>
      <c r="E13" s="48"/>
      <c r="F13" s="33" t="s">
        <v>29</v>
      </c>
      <c r="G13" s="33">
        <v>2025</v>
      </c>
      <c r="H13" s="34">
        <f>'Spectrum Inputs'!B28</f>
        <v>17999</v>
      </c>
      <c r="I13" s="34">
        <f>'Spectrum Inputs'!B14</f>
        <v>1103171</v>
      </c>
      <c r="J13" s="38">
        <f t="shared" si="0"/>
        <v>1.6315693577876866</v>
      </c>
      <c r="K13" s="34">
        <f>'Spectrum Inputs'!C28</f>
        <v>17773</v>
      </c>
      <c r="L13" s="34">
        <f>'Spectrum Inputs'!C14</f>
        <v>1145142</v>
      </c>
      <c r="M13" s="38">
        <f t="shared" si="1"/>
        <v>1.5520345948362735</v>
      </c>
      <c r="N13" s="54">
        <f t="shared" si="2"/>
        <v>-4.8747399288779039E-2</v>
      </c>
      <c r="O13" s="34">
        <f>'Spectrum Inputs'!D28</f>
        <v>17526</v>
      </c>
      <c r="P13" s="34">
        <f>'Spectrum Inputs'!D14</f>
        <v>1187140</v>
      </c>
      <c r="Q13" s="38">
        <f t="shared" si="3"/>
        <v>1.4763212426504035</v>
      </c>
      <c r="R13" s="54">
        <f t="shared" si="4"/>
        <v>-9.5152629826163515E-2</v>
      </c>
      <c r="S13" s="34">
        <f>'Spectrum Inputs'!E28</f>
        <v>17118</v>
      </c>
      <c r="T13" s="34">
        <f>'Spectrum Inputs'!E14</f>
        <v>1226922</v>
      </c>
      <c r="U13" s="38">
        <f t="shared" si="5"/>
        <v>1.3951987167888422</v>
      </c>
      <c r="V13" s="54">
        <f t="shared" si="6"/>
        <v>-0.144873179844067</v>
      </c>
      <c r="W13" s="34">
        <f>'Spectrum Inputs'!F28</f>
        <v>16688</v>
      </c>
      <c r="X13" s="34">
        <f>'Spectrum Inputs'!F14</f>
        <v>1263077</v>
      </c>
      <c r="Y13" s="38">
        <f t="shared" si="7"/>
        <v>1.3212179463326463</v>
      </c>
      <c r="Z13" s="54">
        <f t="shared" si="8"/>
        <v>-0.19021649920899397</v>
      </c>
      <c r="AA13" s="34">
        <f>'Spectrum Inputs'!G28</f>
        <v>16241</v>
      </c>
      <c r="AB13" s="34">
        <f>'Spectrum Inputs'!G14</f>
        <v>1292620</v>
      </c>
      <c r="AC13" s="38">
        <f t="shared" si="9"/>
        <v>1.2564404078538163</v>
      </c>
      <c r="AD13" s="54">
        <f t="shared" si="10"/>
        <v>-0.22991909485387949</v>
      </c>
      <c r="AE13" s="30" t="s">
        <v>20</v>
      </c>
      <c r="AF13" s="26"/>
    </row>
    <row r="14" spans="1:32" s="17" customFormat="1" ht="77.25" hidden="1" customHeight="1" x14ac:dyDescent="0.35">
      <c r="A14" s="46" t="s">
        <v>14</v>
      </c>
      <c r="B14" s="47" t="s">
        <v>15</v>
      </c>
      <c r="C14" s="30" t="s">
        <v>16</v>
      </c>
      <c r="D14" s="30" t="s">
        <v>17</v>
      </c>
      <c r="E14" s="48" t="s">
        <v>30</v>
      </c>
      <c r="F14" s="33" t="s">
        <v>31</v>
      </c>
      <c r="G14" s="33">
        <v>2025</v>
      </c>
      <c r="H14" s="34">
        <f>'Spectrum Inputs'!B92*'Spectrum Inputs'!B89/100</f>
        <v>19462.995999999999</v>
      </c>
      <c r="I14" s="34">
        <f>'Spectrum Inputs'!B92</f>
        <v>39004</v>
      </c>
      <c r="J14" s="38">
        <f t="shared" si="0"/>
        <v>49.9</v>
      </c>
      <c r="K14" s="34">
        <f>IFERROR(M14/100*L14,"")</f>
        <v>18841.469597503972</v>
      </c>
      <c r="L14" s="34">
        <f>I14</f>
        <v>39004</v>
      </c>
      <c r="M14" s="38">
        <f>IFERROR(J14*('Spectrum Inputs'!C104/'Spectrum Inputs'!B104),"")</f>
        <v>48.306505992985258</v>
      </c>
      <c r="N14" s="54">
        <f t="shared" si="2"/>
        <v>-3.1933747635565946E-2</v>
      </c>
      <c r="O14" s="34">
        <f>IFERROR(Q14/100*P14,"")</f>
        <v>18245.511928738968</v>
      </c>
      <c r="P14" s="34">
        <f>I14</f>
        <v>39004</v>
      </c>
      <c r="Q14" s="38">
        <f>IFERROR(J14*('Spectrum Inputs'!D104/'Spectrum Inputs'!B104),"")</f>
        <v>46.778566118190355</v>
      </c>
      <c r="R14" s="54">
        <f t="shared" si="4"/>
        <v>-6.255378520660608E-2</v>
      </c>
      <c r="S14" s="34">
        <f>IFERROR(U14/100*T14,"")</f>
        <v>17672.2586781994</v>
      </c>
      <c r="T14" s="34">
        <f>I14</f>
        <v>39004</v>
      </c>
      <c r="U14" s="38">
        <f>IFERROR(J14*('Spectrum Inputs'!E104/'Spectrum Inputs'!B104),"")</f>
        <v>45.308836730077431</v>
      </c>
      <c r="V14" s="54">
        <f t="shared" si="6"/>
        <v>-9.2007279958368091E-2</v>
      </c>
      <c r="W14" s="34">
        <f>IFERROR(Y14/100*X14,"")</f>
        <v>17127.225594876436</v>
      </c>
      <c r="X14" s="34">
        <f>I14</f>
        <v>39004</v>
      </c>
      <c r="Y14" s="38">
        <f>IFERROR(J14*('Spectrum Inputs'!F104/'Spectrum Inputs'!B104),"")</f>
        <v>43.911459324367847</v>
      </c>
      <c r="Z14" s="54">
        <f t="shared" si="8"/>
        <v>-0.12001083518300905</v>
      </c>
      <c r="AA14" s="34">
        <f>IFERROR(AC14/100*AB14,"")</f>
        <v>16609.988167527357</v>
      </c>
      <c r="AB14" s="34">
        <f>I14</f>
        <v>39004</v>
      </c>
      <c r="AC14" s="38">
        <f>IFERROR(J14*('Spectrum Inputs'!G104/'Spectrum Inputs'!B104),"")</f>
        <v>42.585345522324268</v>
      </c>
      <c r="AD14" s="54">
        <f t="shared" si="10"/>
        <v>-0.14658626207766998</v>
      </c>
      <c r="AE14" s="30" t="s">
        <v>32</v>
      </c>
      <c r="AF14" s="27"/>
    </row>
    <row r="15" spans="1:32" s="28" customFormat="1" ht="77.25" hidden="1" customHeight="1" x14ac:dyDescent="0.3">
      <c r="A15" s="46" t="s">
        <v>14</v>
      </c>
      <c r="B15" s="47" t="s">
        <v>15</v>
      </c>
      <c r="C15" s="30" t="s">
        <v>16</v>
      </c>
      <c r="D15" s="30" t="s">
        <v>17</v>
      </c>
      <c r="E15" s="48" t="s">
        <v>33</v>
      </c>
      <c r="F15" s="33" t="s">
        <v>34</v>
      </c>
      <c r="G15" s="33">
        <v>2025</v>
      </c>
      <c r="H15" s="34">
        <f>'Spectrum Inputs'!C92*'Spectrum Inputs'!C89/100</f>
        <v>4530.0480000000007</v>
      </c>
      <c r="I15" s="34">
        <f>'Spectrum Inputs'!C92</f>
        <v>35391</v>
      </c>
      <c r="J15" s="38">
        <f t="shared" si="0"/>
        <v>12.800000000000002</v>
      </c>
      <c r="K15" s="34">
        <f>IFERROR(M15/100*L15,"")</f>
        <v>4356.4814484918124</v>
      </c>
      <c r="L15" s="34">
        <f>I15</f>
        <v>35391</v>
      </c>
      <c r="M15" s="38">
        <f>IFERROR(J15*('Spectrum Inputs'!C105/'Spectrum Inputs'!B105),"")</f>
        <v>12.30957432254475</v>
      </c>
      <c r="N15" s="54">
        <f t="shared" si="2"/>
        <v>-3.8314506051191626E-2</v>
      </c>
      <c r="O15" s="34">
        <f>IFERROR(Q15/100*P15,"")</f>
        <v>4190.6054604045357</v>
      </c>
      <c r="P15" s="34">
        <f>I15</f>
        <v>35391</v>
      </c>
      <c r="Q15" s="38">
        <f>IFERROR(J15*('Spectrum Inputs'!D105/'Spectrum Inputs'!B105),"")</f>
        <v>11.840878925163278</v>
      </c>
      <c r="R15" s="54">
        <f t="shared" si="4"/>
        <v>-7.4931333971619121E-2</v>
      </c>
      <c r="S15" s="34">
        <f>IFERROR(U15/100*T15,"")</f>
        <v>4030.281449725494</v>
      </c>
      <c r="T15" s="34">
        <f>I15</f>
        <v>35391</v>
      </c>
      <c r="U15" s="38">
        <f>IFERROR(J15*('Spectrum Inputs'!E105/'Spectrum Inputs'!B105),"")</f>
        <v>11.387871068140189</v>
      </c>
      <c r="V15" s="54">
        <f t="shared" si="6"/>
        <v>-0.11032257280154789</v>
      </c>
      <c r="W15" s="34">
        <f>IFERROR(Y15/100*X15,"")</f>
        <v>3877.3205511185415</v>
      </c>
      <c r="X15" s="34">
        <f>I15</f>
        <v>35391</v>
      </c>
      <c r="Y15" s="38">
        <f>IFERROR(J15*('Spectrum Inputs'!F105/'Spectrum Inputs'!B105),"")</f>
        <v>10.955668252150382</v>
      </c>
      <c r="Z15" s="54">
        <f t="shared" si="8"/>
        <v>-0.1440884178007516</v>
      </c>
      <c r="AA15" s="34">
        <f>IFERROR(AC15/100*AB15,"")</f>
        <v>3731.5487139213124</v>
      </c>
      <c r="AB15" s="34">
        <f>I15</f>
        <v>35391</v>
      </c>
      <c r="AC15" s="38">
        <f>IFERROR(J15*('Spectrum Inputs'!G105/'Spectrum Inputs'!B105),"")</f>
        <v>10.543778683623838</v>
      </c>
      <c r="AD15" s="54">
        <f t="shared" si="10"/>
        <v>-0.17626729034188782</v>
      </c>
      <c r="AE15" s="30" t="s">
        <v>35</v>
      </c>
      <c r="AF15" s="27"/>
    </row>
    <row r="16" spans="1:32" s="17" customFormat="1" ht="96.75" hidden="1" customHeight="1" x14ac:dyDescent="0.35">
      <c r="A16" s="46" t="s">
        <v>14</v>
      </c>
      <c r="B16" s="47" t="s">
        <v>15</v>
      </c>
      <c r="C16" s="30" t="s">
        <v>16</v>
      </c>
      <c r="D16" s="30" t="s">
        <v>17</v>
      </c>
      <c r="E16" s="48" t="s">
        <v>36</v>
      </c>
      <c r="F16" s="33" t="s">
        <v>37</v>
      </c>
      <c r="G16" s="33">
        <v>2025</v>
      </c>
      <c r="H16" s="34">
        <f>'Spectrum Inputs'!D92*'Spectrum Inputs'!D89/100</f>
        <v>672.88800000000003</v>
      </c>
      <c r="I16" s="34">
        <f>'Spectrum Inputs'!D92</f>
        <v>4876</v>
      </c>
      <c r="J16" s="38">
        <f t="shared" si="0"/>
        <v>13.8</v>
      </c>
      <c r="K16" s="34">
        <f>IFERROR(M16/100*L16,"")</f>
        <v>647.10662865222571</v>
      </c>
      <c r="L16" s="34">
        <f>I16</f>
        <v>4876</v>
      </c>
      <c r="M16" s="38">
        <f>IFERROR(J16*('Spectrum Inputs'!C105/'Spectrum Inputs'!B105),"")</f>
        <v>13.271259816493556</v>
      </c>
      <c r="N16" s="54">
        <f t="shared" si="2"/>
        <v>-3.8314506051191639E-2</v>
      </c>
      <c r="O16" s="34">
        <f>IFERROR(Q16/100*P16,"")</f>
        <v>622.46760454650519</v>
      </c>
      <c r="P16" s="34">
        <f>I16</f>
        <v>4876</v>
      </c>
      <c r="Q16" s="38">
        <f>IFERROR(J16*('Spectrum Inputs'!D105/'Spectrum Inputs'!B105),"")</f>
        <v>12.765947591191656</v>
      </c>
      <c r="R16" s="54">
        <f t="shared" si="4"/>
        <v>-7.4931333971619163E-2</v>
      </c>
      <c r="S16" s="34">
        <f>IFERROR(U16/100*T16,"")</f>
        <v>598.65326463271208</v>
      </c>
      <c r="T16" s="34">
        <f>I16</f>
        <v>4876</v>
      </c>
      <c r="U16" s="38">
        <f>IFERROR(J16*('Spectrum Inputs'!E105/'Spectrum Inputs'!B105),"")</f>
        <v>12.277548495338639</v>
      </c>
      <c r="V16" s="54">
        <f t="shared" si="6"/>
        <v>-0.11032257280154795</v>
      </c>
      <c r="W16" s="34">
        <f>IFERROR(Y16/100*X16,"")</f>
        <v>575.93263272288789</v>
      </c>
      <c r="X16" s="34">
        <f>I16</f>
        <v>4876</v>
      </c>
      <c r="Y16" s="38">
        <f>IFERROR(J16*('Spectrum Inputs'!F105/'Spectrum Inputs'!B105),"")</f>
        <v>11.811579834349629</v>
      </c>
      <c r="Z16" s="54">
        <f t="shared" si="8"/>
        <v>-0.14408841780075154</v>
      </c>
      <c r="AA16" s="34">
        <f>IFERROR(AC16/100*AB16,"")</f>
        <v>554.27985553642782</v>
      </c>
      <c r="AB16" s="34">
        <f>I16</f>
        <v>4876</v>
      </c>
      <c r="AC16" s="38">
        <f>IFERROR(J16*('Spectrum Inputs'!G105/'Spectrum Inputs'!B105),"")</f>
        <v>11.36751139328195</v>
      </c>
      <c r="AD16" s="54">
        <f t="shared" si="10"/>
        <v>-0.17626729034188776</v>
      </c>
      <c r="AE16" s="30" t="s">
        <v>38</v>
      </c>
      <c r="AF16" s="27"/>
    </row>
    <row r="17" spans="1:32" s="17" customFormat="1" ht="96.75" hidden="1" customHeight="1" x14ac:dyDescent="0.35">
      <c r="A17" s="46" t="s">
        <v>14</v>
      </c>
      <c r="B17" s="47" t="s">
        <v>15</v>
      </c>
      <c r="C17" s="30" t="s">
        <v>16</v>
      </c>
      <c r="D17" s="30" t="s">
        <v>17</v>
      </c>
      <c r="E17" s="48" t="s">
        <v>39</v>
      </c>
      <c r="F17" s="33" t="s">
        <v>40</v>
      </c>
      <c r="G17" s="33">
        <v>2025</v>
      </c>
      <c r="H17" s="34">
        <f>'Spectrum Inputs'!E92*'Spectrum Inputs'!E89/100</f>
        <v>2259.63</v>
      </c>
      <c r="I17" s="34">
        <f>'Spectrum Inputs'!E92</f>
        <v>8369</v>
      </c>
      <c r="J17" s="38">
        <f t="shared" si="0"/>
        <v>27</v>
      </c>
      <c r="K17" s="34">
        <f>IFERROR(M17/100*L17,"")</f>
        <v>2173.0533926915455</v>
      </c>
      <c r="L17" s="34">
        <f>I17</f>
        <v>8369</v>
      </c>
      <c r="M17" s="38">
        <f>IFERROR(J17*('Spectrum Inputs'!C105/'Spectrum Inputs'!B105),"")</f>
        <v>25.965508336617823</v>
      </c>
      <c r="N17" s="54">
        <f t="shared" si="2"/>
        <v>-3.8314506051191737E-2</v>
      </c>
      <c r="O17" s="34">
        <f>IFERROR(Q17/100*P17,"")</f>
        <v>2090.3129098177101</v>
      </c>
      <c r="P17" s="34">
        <f>I17</f>
        <v>8369</v>
      </c>
      <c r="Q17" s="38">
        <f>IFERROR(J17*('Spectrum Inputs'!D105/'Spectrum Inputs'!B105),"")</f>
        <v>24.976853982766283</v>
      </c>
      <c r="R17" s="54">
        <f t="shared" si="4"/>
        <v>-7.4931333971619163E-2</v>
      </c>
      <c r="S17" s="34">
        <f>IFERROR(U17/100*T17,"")</f>
        <v>2010.3418048204385</v>
      </c>
      <c r="T17" s="34">
        <f>I17</f>
        <v>8369</v>
      </c>
      <c r="U17" s="38">
        <f>IFERROR(J17*('Spectrum Inputs'!E105/'Spectrum Inputs'!B105),"")</f>
        <v>24.021290534358208</v>
      </c>
      <c r="V17" s="54">
        <f t="shared" si="6"/>
        <v>-0.11032257280154785</v>
      </c>
      <c r="W17" s="34">
        <f>IFERROR(Y17/100*X17,"")</f>
        <v>1934.0434884848878</v>
      </c>
      <c r="X17" s="34">
        <f>I17</f>
        <v>8369</v>
      </c>
      <c r="Y17" s="38">
        <f>IFERROR(J17*('Spectrum Inputs'!F105/'Spectrum Inputs'!B105),"")</f>
        <v>23.109612719379708</v>
      </c>
      <c r="Z17" s="54">
        <f t="shared" si="8"/>
        <v>-0.14408841780075154</v>
      </c>
      <c r="AA17" s="34">
        <f>IFERROR(AC17/100*AB17,"")</f>
        <v>1861.3311427247602</v>
      </c>
      <c r="AB17" s="34">
        <f>I17</f>
        <v>8369</v>
      </c>
      <c r="AC17" s="38">
        <f>IFERROR(J17*('Spectrum Inputs'!G105/'Spectrum Inputs'!B105),"")</f>
        <v>22.240783160769031</v>
      </c>
      <c r="AD17" s="54">
        <f t="shared" si="10"/>
        <v>-0.17626729034188776</v>
      </c>
      <c r="AE17" s="30" t="s">
        <v>38</v>
      </c>
      <c r="AF17" s="27"/>
    </row>
    <row r="18" spans="1:32" s="17" customFormat="1" ht="57.75" hidden="1" customHeight="1" x14ac:dyDescent="0.35">
      <c r="A18" s="50" t="s">
        <v>14</v>
      </c>
      <c r="B18" s="51" t="s">
        <v>41</v>
      </c>
      <c r="C18" s="19" t="s">
        <v>42</v>
      </c>
      <c r="D18" s="19" t="s">
        <v>43</v>
      </c>
      <c r="E18" s="52" t="s">
        <v>44</v>
      </c>
      <c r="F18" s="22" t="s">
        <v>19</v>
      </c>
      <c r="G18" s="22">
        <v>2025</v>
      </c>
      <c r="H18" s="23">
        <f>'Spectrum Inputs'!B47</f>
        <v>14225</v>
      </c>
      <c r="I18" s="23">
        <f>'Spectrum Inputs'!B75</f>
        <v>21375484</v>
      </c>
      <c r="J18" s="37">
        <f t="shared" ref="J18:J26" si="11">IFERROR(H18/I18*1000,"")</f>
        <v>0.66548200733138951</v>
      </c>
      <c r="K18" s="23">
        <f>'Spectrum Inputs'!C47</f>
        <v>12993</v>
      </c>
      <c r="L18" s="23">
        <f>'Spectrum Inputs'!C75</f>
        <v>21949860</v>
      </c>
      <c r="M18" s="37">
        <f t="shared" ref="M18:M26" si="12">IFERROR(K18/L18*1000,"")</f>
        <v>0.5919399941503044</v>
      </c>
      <c r="N18" s="55">
        <f t="shared" si="2"/>
        <v>-0.11050939374903859</v>
      </c>
      <c r="O18" s="23">
        <f>'Spectrum Inputs'!D47</f>
        <v>12536</v>
      </c>
      <c r="P18" s="23">
        <f>'Spectrum Inputs'!D75</f>
        <v>22534467</v>
      </c>
      <c r="Q18" s="37">
        <f t="shared" ref="Q18:Q26" si="13">IFERROR(O18/P18*1000,"")</f>
        <v>0.55630337296196086</v>
      </c>
      <c r="R18" s="55">
        <f t="shared" si="4"/>
        <v>-0.16405948345206131</v>
      </c>
      <c r="S18" s="23">
        <f>'Spectrum Inputs'!E47</f>
        <v>12388</v>
      </c>
      <c r="T18" s="23">
        <f>'Spectrum Inputs'!E75</f>
        <v>23123883</v>
      </c>
      <c r="U18" s="37">
        <f t="shared" ref="U18:U26" si="14">IFERROR(S18/T18*1000,"")</f>
        <v>0.53572317417451043</v>
      </c>
      <c r="V18" s="55">
        <f t="shared" si="6"/>
        <v>-0.19498473546597811</v>
      </c>
      <c r="W18" s="23">
        <f>'Spectrum Inputs'!F47</f>
        <v>12354</v>
      </c>
      <c r="X18" s="23">
        <f>'Spectrum Inputs'!F75</f>
        <v>23729603</v>
      </c>
      <c r="Y18" s="37">
        <f t="shared" ref="Y18:Y26" si="15">IFERROR(W18/X18*1000,"")</f>
        <v>0.5206155366358215</v>
      </c>
      <c r="Z18" s="55">
        <f t="shared" si="8"/>
        <v>-0.21768653261789689</v>
      </c>
      <c r="AA18" s="23">
        <f>'Spectrum Inputs'!G47</f>
        <v>12496</v>
      </c>
      <c r="AB18" s="23">
        <f>'Spectrum Inputs'!G75</f>
        <v>24334055</v>
      </c>
      <c r="AC18" s="37">
        <f t="shared" ref="AC18:AC26" si="16">IFERROR(AA18/AB18*1000,"")</f>
        <v>0.51351901686751356</v>
      </c>
      <c r="AD18" s="55">
        <f t="shared" si="10"/>
        <v>-0.22835026159948915</v>
      </c>
      <c r="AE18" s="19" t="s">
        <v>45</v>
      </c>
      <c r="AF18" s="27"/>
    </row>
    <row r="19" spans="1:32" s="17" customFormat="1" ht="57.75" hidden="1" customHeight="1" x14ac:dyDescent="0.35">
      <c r="A19" s="50" t="s">
        <v>14</v>
      </c>
      <c r="B19" s="51" t="s">
        <v>41</v>
      </c>
      <c r="C19" s="19" t="s">
        <v>42</v>
      </c>
      <c r="D19" s="19" t="s">
        <v>43</v>
      </c>
      <c r="E19" s="52"/>
      <c r="F19" s="22" t="s">
        <v>46</v>
      </c>
      <c r="G19" s="22">
        <v>2025</v>
      </c>
      <c r="H19" s="23">
        <f>'Spectrum Inputs'!B48+'Spectrum Inputs'!B49</f>
        <v>1734</v>
      </c>
      <c r="I19" s="23">
        <f>'Spectrum Inputs'!B76+'Spectrum Inputs'!B77</f>
        <v>8898294</v>
      </c>
      <c r="J19" s="37">
        <f t="shared" si="11"/>
        <v>0.19486881417943708</v>
      </c>
      <c r="K19" s="23">
        <f>'Spectrum Inputs'!C48+'Spectrum Inputs'!C49</f>
        <v>1428</v>
      </c>
      <c r="L19" s="23">
        <f>'Spectrum Inputs'!C76+'Spectrum Inputs'!C77</f>
        <v>9007700</v>
      </c>
      <c r="M19" s="37">
        <f t="shared" si="12"/>
        <v>0.15853103455932147</v>
      </c>
      <c r="N19" s="55">
        <f t="shared" si="2"/>
        <v>-0.18647303712052887</v>
      </c>
      <c r="O19" s="23">
        <f>'Spectrum Inputs'!D48+'Spectrum Inputs'!D49</f>
        <v>1338</v>
      </c>
      <c r="P19" s="23">
        <f>'Spectrum Inputs'!D76+'Spectrum Inputs'!D77</f>
        <v>9123783</v>
      </c>
      <c r="Q19" s="37">
        <f t="shared" si="13"/>
        <v>0.14664969563611938</v>
      </c>
      <c r="R19" s="55">
        <f t="shared" si="4"/>
        <v>-0.24744399839636255</v>
      </c>
      <c r="S19" s="23">
        <f>'Spectrum Inputs'!E48+'Spectrum Inputs'!E49</f>
        <v>1264</v>
      </c>
      <c r="T19" s="23">
        <f>'Spectrum Inputs'!E76+'Spectrum Inputs'!E77</f>
        <v>9240121</v>
      </c>
      <c r="U19" s="37">
        <f t="shared" si="14"/>
        <v>0.13679474543677514</v>
      </c>
      <c r="V19" s="55">
        <f t="shared" si="6"/>
        <v>-0.29801622690220086</v>
      </c>
      <c r="W19" s="23">
        <f>'Spectrum Inputs'!F48+'Spectrum Inputs'!F49</f>
        <v>1204</v>
      </c>
      <c r="X19" s="23">
        <f>'Spectrum Inputs'!F76+'Spectrum Inputs'!F77</f>
        <v>9367867</v>
      </c>
      <c r="Y19" s="37">
        <f t="shared" si="15"/>
        <v>0.12852445492661241</v>
      </c>
      <c r="Z19" s="55">
        <f t="shared" si="8"/>
        <v>-0.34045652472506016</v>
      </c>
      <c r="AA19" s="23">
        <f>'Spectrum Inputs'!G48+'Spectrum Inputs'!G49</f>
        <v>1149</v>
      </c>
      <c r="AB19" s="23">
        <f>'Spectrum Inputs'!G76+'Spectrum Inputs'!G77</f>
        <v>9499911</v>
      </c>
      <c r="AC19" s="37">
        <f t="shared" si="16"/>
        <v>0.12094850151754052</v>
      </c>
      <c r="AD19" s="55">
        <f t="shared" si="10"/>
        <v>-0.37933372239762292</v>
      </c>
      <c r="AE19" s="19" t="s">
        <v>45</v>
      </c>
      <c r="AF19" s="27"/>
    </row>
    <row r="20" spans="1:32" s="17" customFormat="1" ht="57.75" hidden="1" customHeight="1" x14ac:dyDescent="0.35">
      <c r="A20" s="50" t="s">
        <v>14</v>
      </c>
      <c r="B20" s="51" t="s">
        <v>41</v>
      </c>
      <c r="C20" s="19" t="s">
        <v>42</v>
      </c>
      <c r="D20" s="19" t="s">
        <v>43</v>
      </c>
      <c r="E20" s="52"/>
      <c r="F20" s="22" t="s">
        <v>23</v>
      </c>
      <c r="G20" s="22">
        <v>2025</v>
      </c>
      <c r="H20" s="23">
        <f>'Spectrum Inputs'!B50</f>
        <v>12491</v>
      </c>
      <c r="I20" s="23">
        <f>'Spectrum Inputs'!B78</f>
        <v>12477190</v>
      </c>
      <c r="J20" s="37">
        <f t="shared" si="11"/>
        <v>1.0011068197246336</v>
      </c>
      <c r="K20" s="23">
        <f>'Spectrum Inputs'!C50</f>
        <v>11565</v>
      </c>
      <c r="L20" s="23">
        <f>'Spectrum Inputs'!C78</f>
        <v>12942160</v>
      </c>
      <c r="M20" s="37">
        <f t="shared" si="12"/>
        <v>0.89359117797956444</v>
      </c>
      <c r="N20" s="55">
        <f t="shared" si="2"/>
        <v>-0.10739677287848522</v>
      </c>
      <c r="O20" s="23">
        <f>'Spectrum Inputs'!D50</f>
        <v>11198</v>
      </c>
      <c r="P20" s="23">
        <f>'Spectrum Inputs'!D78</f>
        <v>13410684</v>
      </c>
      <c r="Q20" s="37">
        <f t="shared" si="13"/>
        <v>0.83500588038611601</v>
      </c>
      <c r="R20" s="55">
        <f t="shared" si="4"/>
        <v>-0.16591729879954828</v>
      </c>
      <c r="S20" s="23">
        <f>'Spectrum Inputs'!E50</f>
        <v>11124</v>
      </c>
      <c r="T20" s="23">
        <f>'Spectrum Inputs'!E78</f>
        <v>13883762</v>
      </c>
      <c r="U20" s="37">
        <f t="shared" si="14"/>
        <v>0.80122376053406852</v>
      </c>
      <c r="V20" s="55">
        <f t="shared" si="6"/>
        <v>-0.19966206927403138</v>
      </c>
      <c r="W20" s="23">
        <f>'Spectrum Inputs'!F50</f>
        <v>11150</v>
      </c>
      <c r="X20" s="23">
        <f>'Spectrum Inputs'!F78</f>
        <v>14361736</v>
      </c>
      <c r="Y20" s="37">
        <f t="shared" si="15"/>
        <v>0.7763685392907933</v>
      </c>
      <c r="Z20" s="55">
        <f t="shared" si="8"/>
        <v>-0.22448981068339663</v>
      </c>
      <c r="AA20" s="23">
        <f>'Spectrum Inputs'!G50</f>
        <v>11347</v>
      </c>
      <c r="AB20" s="23">
        <f>'Spectrum Inputs'!G78</f>
        <v>14834144</v>
      </c>
      <c r="AC20" s="37">
        <f t="shared" si="16"/>
        <v>0.76492448772237887</v>
      </c>
      <c r="AD20" s="55">
        <f t="shared" si="10"/>
        <v>-0.23592120975383973</v>
      </c>
      <c r="AE20" s="19" t="s">
        <v>45</v>
      </c>
      <c r="AF20" s="27"/>
    </row>
    <row r="21" spans="1:32" s="28" customFormat="1" ht="57.75" hidden="1" customHeight="1" x14ac:dyDescent="0.3">
      <c r="A21" s="50" t="s">
        <v>14</v>
      </c>
      <c r="B21" s="51" t="s">
        <v>41</v>
      </c>
      <c r="C21" s="19" t="s">
        <v>42</v>
      </c>
      <c r="D21" s="19" t="s">
        <v>43</v>
      </c>
      <c r="E21" s="52"/>
      <c r="F21" s="22" t="s">
        <v>24</v>
      </c>
      <c r="G21" s="22">
        <v>2025</v>
      </c>
      <c r="H21" s="23">
        <f>'Spectrum Inputs'!B51</f>
        <v>8942</v>
      </c>
      <c r="I21" s="23">
        <f>'Spectrum Inputs'!B79</f>
        <v>10773062</v>
      </c>
      <c r="J21" s="37">
        <f t="shared" si="11"/>
        <v>0.83003328115998964</v>
      </c>
      <c r="K21" s="23">
        <f>'Spectrum Inputs'!C51</f>
        <v>8195</v>
      </c>
      <c r="L21" s="23">
        <f>'Spectrum Inputs'!C79</f>
        <v>11062230</v>
      </c>
      <c r="M21" s="37">
        <f t="shared" si="12"/>
        <v>0.74080904121501723</v>
      </c>
      <c r="N21" s="55">
        <f t="shared" si="2"/>
        <v>-0.10749477396891796</v>
      </c>
      <c r="O21" s="23">
        <f>'Spectrum Inputs'!D51</f>
        <v>7915</v>
      </c>
      <c r="P21" s="23">
        <f>'Spectrum Inputs'!D79</f>
        <v>11356768</v>
      </c>
      <c r="Q21" s="37">
        <f t="shared" si="13"/>
        <v>0.69694124243798938</v>
      </c>
      <c r="R21" s="55">
        <f t="shared" si="4"/>
        <v>-0.16034542438587671</v>
      </c>
      <c r="S21" s="23">
        <f>'Spectrum Inputs'!E51</f>
        <v>7835</v>
      </c>
      <c r="T21" s="23">
        <f>'Spectrum Inputs'!E79</f>
        <v>11654017</v>
      </c>
      <c r="U21" s="37">
        <f t="shared" si="14"/>
        <v>0.67230037505522777</v>
      </c>
      <c r="V21" s="55">
        <f t="shared" si="6"/>
        <v>-0.19003202604638539</v>
      </c>
      <c r="W21" s="23">
        <f>'Spectrum Inputs'!F51</f>
        <v>7826</v>
      </c>
      <c r="X21" s="23">
        <f>'Spectrum Inputs'!F79</f>
        <v>11959325</v>
      </c>
      <c r="Y21" s="37">
        <f t="shared" si="15"/>
        <v>0.65438475833711351</v>
      </c>
      <c r="Z21" s="55">
        <f t="shared" si="8"/>
        <v>-0.21161624095048753</v>
      </c>
      <c r="AA21" s="23">
        <f>'Spectrum Inputs'!G51</f>
        <v>7925</v>
      </c>
      <c r="AB21" s="23">
        <f>'Spectrum Inputs'!G79</f>
        <v>12264348</v>
      </c>
      <c r="AC21" s="37">
        <f t="shared" si="16"/>
        <v>0.6461819250399613</v>
      </c>
      <c r="AD21" s="55">
        <f t="shared" si="10"/>
        <v>-0.22149877636604168</v>
      </c>
      <c r="AE21" s="19" t="s">
        <v>45</v>
      </c>
      <c r="AF21" s="27"/>
    </row>
    <row r="22" spans="1:32" s="28" customFormat="1" ht="57.75" hidden="1" customHeight="1" x14ac:dyDescent="0.3">
      <c r="A22" s="50" t="s">
        <v>14</v>
      </c>
      <c r="B22" s="51" t="s">
        <v>41</v>
      </c>
      <c r="C22" s="19" t="s">
        <v>42</v>
      </c>
      <c r="D22" s="19" t="s">
        <v>43</v>
      </c>
      <c r="E22" s="52"/>
      <c r="F22" s="22" t="s">
        <v>25</v>
      </c>
      <c r="G22" s="22">
        <v>2025</v>
      </c>
      <c r="H22" s="23">
        <f>'Spectrum Inputs'!B52</f>
        <v>5285</v>
      </c>
      <c r="I22" s="23">
        <f>'Spectrum Inputs'!B80</f>
        <v>10602425</v>
      </c>
      <c r="J22" s="37">
        <f t="shared" si="11"/>
        <v>0.49847086869277546</v>
      </c>
      <c r="K22" s="23">
        <f>'Spectrum Inputs'!C52</f>
        <v>4801</v>
      </c>
      <c r="L22" s="23">
        <f>'Spectrum Inputs'!C80</f>
        <v>10887628</v>
      </c>
      <c r="M22" s="37">
        <f t="shared" si="12"/>
        <v>0.4409592245436747</v>
      </c>
      <c r="N22" s="55">
        <f t="shared" si="2"/>
        <v>-0.11537613883018537</v>
      </c>
      <c r="O22" s="23">
        <f>'Spectrum Inputs'!D52</f>
        <v>4621</v>
      </c>
      <c r="P22" s="23">
        <f>'Spectrum Inputs'!D80</f>
        <v>11177697</v>
      </c>
      <c r="Q22" s="37">
        <f t="shared" si="13"/>
        <v>0.41341253032713265</v>
      </c>
      <c r="R22" s="55">
        <f t="shared" si="4"/>
        <v>-0.17063853418095562</v>
      </c>
      <c r="S22" s="23">
        <f>'Spectrum Inputs'!E52</f>
        <v>4553</v>
      </c>
      <c r="T22" s="23">
        <f>'Spectrum Inputs'!E80</f>
        <v>11469869</v>
      </c>
      <c r="U22" s="37">
        <f t="shared" si="14"/>
        <v>0.39695309510509669</v>
      </c>
      <c r="V22" s="55">
        <f t="shared" si="6"/>
        <v>-0.20365838800952604</v>
      </c>
      <c r="W22" s="23">
        <f>'Spectrum Inputs'!F52</f>
        <v>4530</v>
      </c>
      <c r="X22" s="23">
        <f>'Spectrum Inputs'!F80</f>
        <v>11770277</v>
      </c>
      <c r="Y22" s="37">
        <f t="shared" si="15"/>
        <v>0.38486774780236688</v>
      </c>
      <c r="Z22" s="55">
        <f t="shared" si="8"/>
        <v>-0.22790322970794519</v>
      </c>
      <c r="AA22" s="23">
        <f>'Spectrum Inputs'!G52</f>
        <v>4570</v>
      </c>
      <c r="AB22" s="23">
        <f>'Spectrum Inputs'!G80</f>
        <v>12069708</v>
      </c>
      <c r="AC22" s="37">
        <f t="shared" si="16"/>
        <v>0.37863384930273375</v>
      </c>
      <c r="AD22" s="55">
        <f t="shared" si="10"/>
        <v>-0.24040927347331373</v>
      </c>
      <c r="AE22" s="19" t="s">
        <v>45</v>
      </c>
      <c r="AF22" s="27"/>
    </row>
    <row r="23" spans="1:32" s="28" customFormat="1" ht="57.75" hidden="1" customHeight="1" x14ac:dyDescent="0.3">
      <c r="A23" s="50" t="s">
        <v>14</v>
      </c>
      <c r="B23" s="51" t="s">
        <v>41</v>
      </c>
      <c r="C23" s="19" t="s">
        <v>42</v>
      </c>
      <c r="D23" s="19" t="s">
        <v>43</v>
      </c>
      <c r="E23" s="52"/>
      <c r="F23" s="22" t="s">
        <v>26</v>
      </c>
      <c r="G23" s="22">
        <v>2025</v>
      </c>
      <c r="H23" s="23">
        <f>'Spectrum Inputs'!B53</f>
        <v>1601</v>
      </c>
      <c r="I23" s="23">
        <f>'Spectrum Inputs'!B81</f>
        <v>1309485</v>
      </c>
      <c r="J23" s="37">
        <f t="shared" si="11"/>
        <v>1.2226180521349996</v>
      </c>
      <c r="K23" s="23">
        <f>'Spectrum Inputs'!C53</f>
        <v>1460</v>
      </c>
      <c r="L23" s="23">
        <f>'Spectrum Inputs'!C81</f>
        <v>1333754</v>
      </c>
      <c r="M23" s="37">
        <f t="shared" si="12"/>
        <v>1.0946546364621961</v>
      </c>
      <c r="N23" s="55">
        <f t="shared" si="2"/>
        <v>-0.10466344370537238</v>
      </c>
      <c r="O23" s="23">
        <f>'Spectrum Inputs'!D53</f>
        <v>1387</v>
      </c>
      <c r="P23" s="23">
        <f>'Spectrum Inputs'!D81</f>
        <v>1352756</v>
      </c>
      <c r="Q23" s="37">
        <f t="shared" si="13"/>
        <v>1.0253142473587253</v>
      </c>
      <c r="R23" s="55">
        <f t="shared" si="4"/>
        <v>-0.16137812167236698</v>
      </c>
      <c r="S23" s="23">
        <f>'Spectrum Inputs'!E53</f>
        <v>1349</v>
      </c>
      <c r="T23" s="23">
        <f>'Spectrum Inputs'!E81</f>
        <v>1368897</v>
      </c>
      <c r="U23" s="37">
        <f t="shared" si="14"/>
        <v>0.98546494002105356</v>
      </c>
      <c r="V23" s="55">
        <f t="shared" si="6"/>
        <v>-0.19397154466991298</v>
      </c>
      <c r="W23" s="23">
        <f>'Spectrum Inputs'!F53</f>
        <v>1322</v>
      </c>
      <c r="X23" s="23">
        <f>'Spectrum Inputs'!F81</f>
        <v>1380804</v>
      </c>
      <c r="Y23" s="37">
        <f t="shared" si="15"/>
        <v>0.95741321722706485</v>
      </c>
      <c r="Z23" s="55">
        <f t="shared" si="8"/>
        <v>-0.21691552357240287</v>
      </c>
      <c r="AA23" s="23">
        <f>'Spectrum Inputs'!G53</f>
        <v>1315</v>
      </c>
      <c r="AB23" s="23">
        <f>'Spectrum Inputs'!G81</f>
        <v>1389740</v>
      </c>
      <c r="AC23" s="37">
        <f t="shared" si="16"/>
        <v>0.94622015628822664</v>
      </c>
      <c r="AD23" s="55">
        <f t="shared" si="10"/>
        <v>-0.22607051757833324</v>
      </c>
      <c r="AE23" s="19" t="s">
        <v>45</v>
      </c>
      <c r="AF23" s="27"/>
    </row>
    <row r="24" spans="1:32" s="28" customFormat="1" ht="57.75" hidden="1" customHeight="1" x14ac:dyDescent="0.3">
      <c r="A24" s="50" t="s">
        <v>14</v>
      </c>
      <c r="B24" s="51" t="s">
        <v>41</v>
      </c>
      <c r="C24" s="19" t="s">
        <v>42</v>
      </c>
      <c r="D24" s="19" t="s">
        <v>43</v>
      </c>
      <c r="E24" s="52"/>
      <c r="F24" s="22" t="s">
        <v>27</v>
      </c>
      <c r="G24" s="22">
        <v>2025</v>
      </c>
      <c r="H24" s="23">
        <f>'Spectrum Inputs'!B54</f>
        <v>2085</v>
      </c>
      <c r="I24" s="23">
        <f>'Spectrum Inputs'!B82</f>
        <v>1092458</v>
      </c>
      <c r="J24" s="37">
        <f t="shared" si="11"/>
        <v>1.9085401910187851</v>
      </c>
      <c r="K24" s="23">
        <f>'Spectrum Inputs'!C54</f>
        <v>1940</v>
      </c>
      <c r="L24" s="23">
        <f>'Spectrum Inputs'!C82</f>
        <v>1137739</v>
      </c>
      <c r="M24" s="37">
        <f t="shared" si="12"/>
        <v>1.7051362395066003</v>
      </c>
      <c r="N24" s="55">
        <f t="shared" si="2"/>
        <v>-0.10657567101251722</v>
      </c>
      <c r="O24" s="23">
        <f>'Spectrum Inputs'!D54</f>
        <v>1885</v>
      </c>
      <c r="P24" s="23">
        <f>'Spectrum Inputs'!D82</f>
        <v>1182182</v>
      </c>
      <c r="Q24" s="37">
        <f t="shared" si="13"/>
        <v>1.5945091364950574</v>
      </c>
      <c r="R24" s="55">
        <f t="shared" si="4"/>
        <v>-0.16453992218843286</v>
      </c>
      <c r="S24" s="23">
        <f>'Spectrum Inputs'!E54</f>
        <v>1876</v>
      </c>
      <c r="T24" s="23">
        <f>'Spectrum Inputs'!E82</f>
        <v>1223921</v>
      </c>
      <c r="U24" s="37">
        <f t="shared" si="14"/>
        <v>1.5327786679042195</v>
      </c>
      <c r="V24" s="55">
        <f t="shared" si="6"/>
        <v>-0.19688425996100345</v>
      </c>
      <c r="W24" s="23">
        <f>'Spectrum Inputs'!F54</f>
        <v>1877</v>
      </c>
      <c r="X24" s="23">
        <f>'Spectrum Inputs'!F82</f>
        <v>1261079</v>
      </c>
      <c r="Y24" s="37">
        <f t="shared" si="15"/>
        <v>1.4884079427220658</v>
      </c>
      <c r="Z24" s="55">
        <f t="shared" si="8"/>
        <v>-0.22013277492073738</v>
      </c>
      <c r="AA24" s="23">
        <f>'Spectrum Inputs'!G54</f>
        <v>1897</v>
      </c>
      <c r="AB24" s="23">
        <f>'Spectrum Inputs'!G82</f>
        <v>1290639</v>
      </c>
      <c r="AC24" s="37">
        <f t="shared" si="16"/>
        <v>1.4698145647233658</v>
      </c>
      <c r="AD24" s="55">
        <f t="shared" si="10"/>
        <v>-0.22987497374169844</v>
      </c>
      <c r="AE24" s="19" t="s">
        <v>45</v>
      </c>
      <c r="AF24" s="27"/>
    </row>
    <row r="25" spans="1:32" s="28" customFormat="1" ht="57.75" hidden="1" customHeight="1" x14ac:dyDescent="0.3">
      <c r="A25" s="50" t="s">
        <v>14</v>
      </c>
      <c r="B25" s="51" t="s">
        <v>41</v>
      </c>
      <c r="C25" s="19" t="s">
        <v>42</v>
      </c>
      <c r="D25" s="19" t="s">
        <v>43</v>
      </c>
      <c r="E25" s="52"/>
      <c r="F25" s="22" t="s">
        <v>28</v>
      </c>
      <c r="G25" s="22">
        <v>2025</v>
      </c>
      <c r="H25" s="23">
        <f>'Spectrum Inputs'!B55</f>
        <v>118</v>
      </c>
      <c r="I25" s="23">
        <f>'Spectrum Inputs'!B83</f>
        <v>1294286</v>
      </c>
      <c r="J25" s="37">
        <f t="shared" si="11"/>
        <v>9.1169957799126317E-2</v>
      </c>
      <c r="K25" s="23">
        <f>'Spectrum Inputs'!C55</f>
        <v>108</v>
      </c>
      <c r="L25" s="23">
        <f>'Spectrum Inputs'!C83</f>
        <v>1319889</v>
      </c>
      <c r="M25" s="37">
        <f t="shared" si="12"/>
        <v>8.1825062562079096E-2</v>
      </c>
      <c r="N25" s="55">
        <f t="shared" si="2"/>
        <v>-0.10249972098963474</v>
      </c>
      <c r="O25" s="23">
        <f>'Spectrum Inputs'!D55</f>
        <v>103</v>
      </c>
      <c r="P25" s="23">
        <f>'Spectrum Inputs'!D83</f>
        <v>1340457</v>
      </c>
      <c r="Q25" s="37">
        <f t="shared" si="13"/>
        <v>7.683946594333127E-2</v>
      </c>
      <c r="R25" s="55">
        <f t="shared" si="4"/>
        <v>-0.15718436425482668</v>
      </c>
      <c r="S25" s="23">
        <f>'Spectrum Inputs'!E55</f>
        <v>100</v>
      </c>
      <c r="T25" s="23">
        <f>'Spectrum Inputs'!E83</f>
        <v>1358683</v>
      </c>
      <c r="U25" s="37">
        <f t="shared" si="14"/>
        <v>7.3600685369582156E-2</v>
      </c>
      <c r="V25" s="55">
        <f t="shared" si="6"/>
        <v>-0.19270901131987284</v>
      </c>
      <c r="W25" s="23">
        <f>'Spectrum Inputs'!F55</f>
        <v>97</v>
      </c>
      <c r="X25" s="23">
        <f>'Spectrum Inputs'!F83</f>
        <v>1372961</v>
      </c>
      <c r="Y25" s="37">
        <f t="shared" si="15"/>
        <v>7.0650222402530008E-2</v>
      </c>
      <c r="Z25" s="55">
        <f t="shared" si="8"/>
        <v>-0.22507123938575466</v>
      </c>
      <c r="AA25" s="23">
        <f>'Spectrum Inputs'!G55</f>
        <v>97</v>
      </c>
      <c r="AB25" s="23">
        <f>'Spectrum Inputs'!G83</f>
        <v>1384172</v>
      </c>
      <c r="AC25" s="37">
        <f t="shared" si="16"/>
        <v>7.007799608719148E-2</v>
      </c>
      <c r="AD25" s="55">
        <f t="shared" si="10"/>
        <v>-0.23134771827367195</v>
      </c>
      <c r="AE25" s="19" t="s">
        <v>45</v>
      </c>
      <c r="AF25" s="27"/>
    </row>
    <row r="26" spans="1:32" s="28" customFormat="1" ht="57.75" hidden="1" customHeight="1" x14ac:dyDescent="0.3">
      <c r="A26" s="50" t="s">
        <v>14</v>
      </c>
      <c r="B26" s="51" t="s">
        <v>41</v>
      </c>
      <c r="C26" s="19" t="s">
        <v>42</v>
      </c>
      <c r="D26" s="19" t="s">
        <v>43</v>
      </c>
      <c r="E26" s="52"/>
      <c r="F26" s="22" t="s">
        <v>29</v>
      </c>
      <c r="G26" s="22">
        <v>2025</v>
      </c>
      <c r="H26" s="23">
        <f>'Spectrum Inputs'!B56</f>
        <v>813</v>
      </c>
      <c r="I26" s="23">
        <f>'Spectrum Inputs'!B84</f>
        <v>1085172</v>
      </c>
      <c r="J26" s="37">
        <f t="shared" si="11"/>
        <v>0.74918999015824217</v>
      </c>
      <c r="K26" s="23">
        <f>'Spectrum Inputs'!C56</f>
        <v>751</v>
      </c>
      <c r="L26" s="23">
        <f>'Spectrum Inputs'!C84</f>
        <v>1127369</v>
      </c>
      <c r="M26" s="37">
        <f t="shared" si="12"/>
        <v>0.66615278582256554</v>
      </c>
      <c r="N26" s="55">
        <f t="shared" si="2"/>
        <v>-0.11083597675689408</v>
      </c>
      <c r="O26" s="23">
        <f>'Spectrum Inputs'!D56</f>
        <v>725</v>
      </c>
      <c r="P26" s="23">
        <f>'Spectrum Inputs'!D84</f>
        <v>1169614</v>
      </c>
      <c r="Q26" s="37">
        <f t="shared" si="13"/>
        <v>0.61986262134345171</v>
      </c>
      <c r="R26" s="55">
        <f t="shared" si="4"/>
        <v>-0.17262292677919286</v>
      </c>
      <c r="S26" s="23">
        <f>'Spectrum Inputs'!E56</f>
        <v>717</v>
      </c>
      <c r="T26" s="23">
        <f>'Spectrum Inputs'!E84</f>
        <v>1209804</v>
      </c>
      <c r="U26" s="37">
        <f t="shared" si="14"/>
        <v>0.59265798426852623</v>
      </c>
      <c r="V26" s="55">
        <f t="shared" si="6"/>
        <v>-0.20893499372122365</v>
      </c>
      <c r="W26" s="23">
        <f>'Spectrum Inputs'!F56</f>
        <v>714</v>
      </c>
      <c r="X26" s="23">
        <f>'Spectrum Inputs'!F84</f>
        <v>1246389</v>
      </c>
      <c r="Y26" s="37">
        <f t="shared" si="15"/>
        <v>0.5728548631286059</v>
      </c>
      <c r="Z26" s="55">
        <f t="shared" si="8"/>
        <v>-0.23536770291390463</v>
      </c>
      <c r="AA26" s="23">
        <f>'Spectrum Inputs'!G56</f>
        <v>718</v>
      </c>
      <c r="AB26" s="23">
        <f>'Spectrum Inputs'!G84</f>
        <v>1276379</v>
      </c>
      <c r="AC26" s="37">
        <f t="shared" si="16"/>
        <v>0.56252884135511483</v>
      </c>
      <c r="AD26" s="55">
        <f t="shared" si="10"/>
        <v>-0.24915061767403113</v>
      </c>
      <c r="AE26" s="19" t="s">
        <v>45</v>
      </c>
      <c r="AF26" s="27"/>
    </row>
    <row r="27" spans="1:32" s="28" customFormat="1" ht="57.75" hidden="1" customHeight="1" x14ac:dyDescent="0.3">
      <c r="A27" s="46" t="s">
        <v>14</v>
      </c>
      <c r="B27" s="47" t="s">
        <v>47</v>
      </c>
      <c r="C27" s="30" t="s">
        <v>48</v>
      </c>
      <c r="D27" s="30" t="s">
        <v>49</v>
      </c>
      <c r="E27" s="48" t="s">
        <v>50</v>
      </c>
      <c r="F27" s="33" t="s">
        <v>19</v>
      </c>
      <c r="G27" s="33">
        <v>2025</v>
      </c>
      <c r="H27" s="34">
        <f>'Spectrum Inputs'!B61</f>
        <v>12858</v>
      </c>
      <c r="I27" s="34">
        <f>'Spectrum Inputs'!B5</f>
        <v>22382444</v>
      </c>
      <c r="J27" s="35">
        <f t="shared" ref="J27:J36" si="17">IFERROR(H27/I27*100000,"")</f>
        <v>57.446809651349966</v>
      </c>
      <c r="K27" s="34">
        <f>'Spectrum Inputs'!C61</f>
        <v>12592</v>
      </c>
      <c r="L27" s="34">
        <f>'Spectrum Inputs'!C5</f>
        <v>22950681</v>
      </c>
      <c r="M27" s="35">
        <f t="shared" ref="M27:M36" si="18">IFERROR(K27/L27*100000,"")</f>
        <v>54.865474362176876</v>
      </c>
      <c r="N27" s="54">
        <f t="shared" si="2"/>
        <v>-4.4934354141499835E-2</v>
      </c>
      <c r="O27" s="34">
        <f>'Spectrum Inputs'!D61</f>
        <v>12105</v>
      </c>
      <c r="P27" s="34">
        <f>'Spectrum Inputs'!D5</f>
        <v>23528994</v>
      </c>
      <c r="Q27" s="35">
        <f t="shared" ref="Q27:Q36" si="19">IFERROR(O27/P27*100000,"")</f>
        <v>51.447163444386959</v>
      </c>
      <c r="R27" s="54">
        <f t="shared" si="4"/>
        <v>-0.10443828375109807</v>
      </c>
      <c r="S27" s="34">
        <f>'Spectrum Inputs'!E61</f>
        <v>11571</v>
      </c>
      <c r="T27" s="34">
        <f>'Spectrum Inputs'!E5</f>
        <v>24112115</v>
      </c>
      <c r="U27" s="35">
        <f t="shared" ref="U27:U36" si="20">IFERROR(S27/T27*100000,"")</f>
        <v>47.988324541418287</v>
      </c>
      <c r="V27" s="54">
        <f t="shared" si="6"/>
        <v>-0.16464770049609553</v>
      </c>
      <c r="W27" s="34">
        <f>'Spectrum Inputs'!F61</f>
        <v>11181</v>
      </c>
      <c r="X27" s="34">
        <f>'Spectrum Inputs'!F5</f>
        <v>24711970</v>
      </c>
      <c r="Y27" s="35">
        <f t="shared" ref="Y27:Y36" si="21">IFERROR(W27/X27*100000,"")</f>
        <v>45.245279919002819</v>
      </c>
      <c r="Z27" s="54">
        <f t="shared" si="8"/>
        <v>-0.21239699482702984</v>
      </c>
      <c r="AA27" s="34">
        <f>'Spectrum Inputs'!G61</f>
        <v>10812</v>
      </c>
      <c r="AB27" s="34">
        <f>'Spectrum Inputs'!G5</f>
        <v>25310548</v>
      </c>
      <c r="AC27" s="35">
        <f t="shared" ref="AC27:AC36" si="22">IFERROR(AA27/AB27*100000,"")</f>
        <v>42.717368268754988</v>
      </c>
      <c r="AD27" s="54">
        <f t="shared" si="10"/>
        <v>-0.25640138193903766</v>
      </c>
      <c r="AE27" s="30" t="s">
        <v>51</v>
      </c>
      <c r="AF27" s="27"/>
    </row>
    <row r="28" spans="1:32" s="28" customFormat="1" ht="57.75" hidden="1" customHeight="1" x14ac:dyDescent="0.3">
      <c r="A28" s="46" t="s">
        <v>14</v>
      </c>
      <c r="B28" s="47" t="s">
        <v>47</v>
      </c>
      <c r="C28" s="30" t="s">
        <v>48</v>
      </c>
      <c r="D28" s="30" t="s">
        <v>49</v>
      </c>
      <c r="E28" s="48"/>
      <c r="F28" s="33" t="s">
        <v>21</v>
      </c>
      <c r="G28" s="33">
        <v>2025</v>
      </c>
      <c r="H28" s="34">
        <f>'Spectrum Inputs'!B62</f>
        <v>585</v>
      </c>
      <c r="I28" s="34">
        <f>'Spectrum Inputs'!B6</f>
        <v>3195757</v>
      </c>
      <c r="J28" s="35">
        <f t="shared" si="17"/>
        <v>18.305521978047768</v>
      </c>
      <c r="K28" s="34">
        <f>'Spectrum Inputs'!C62</f>
        <v>564</v>
      </c>
      <c r="L28" s="34">
        <f>'Spectrum Inputs'!C6</f>
        <v>3243142</v>
      </c>
      <c r="M28" s="35">
        <f t="shared" si="18"/>
        <v>17.390542874780074</v>
      </c>
      <c r="N28" s="54">
        <f t="shared" si="2"/>
        <v>-4.9983775626007781E-2</v>
      </c>
      <c r="O28" s="34">
        <f>'Spectrum Inputs'!D62</f>
        <v>415</v>
      </c>
      <c r="P28" s="34">
        <f>'Spectrum Inputs'!D6</f>
        <v>3291453</v>
      </c>
      <c r="Q28" s="35">
        <f t="shared" si="19"/>
        <v>12.608413366376492</v>
      </c>
      <c r="R28" s="54">
        <f t="shared" si="4"/>
        <v>-0.31122349958134632</v>
      </c>
      <c r="S28" s="34">
        <f>'Spectrum Inputs'!E62</f>
        <v>325</v>
      </c>
      <c r="T28" s="34">
        <f>'Spectrum Inputs'!E6</f>
        <v>3338532</v>
      </c>
      <c r="U28" s="35">
        <f t="shared" si="20"/>
        <v>9.7348175785045648</v>
      </c>
      <c r="V28" s="54">
        <f t="shared" si="6"/>
        <v>-0.46820322358582883</v>
      </c>
      <c r="W28" s="34">
        <f>'Spectrum Inputs'!F62</f>
        <v>301</v>
      </c>
      <c r="X28" s="34">
        <f>'Spectrum Inputs'!F6</f>
        <v>3385254</v>
      </c>
      <c r="Y28" s="35">
        <f t="shared" si="21"/>
        <v>8.8915041530118568</v>
      </c>
      <c r="Z28" s="54">
        <f t="shared" si="8"/>
        <v>-0.51427202329031263</v>
      </c>
      <c r="AA28" s="34">
        <f>'Spectrum Inputs'!G62</f>
        <v>285</v>
      </c>
      <c r="AB28" s="34">
        <f>'Spectrum Inputs'!G6</f>
        <v>3426448</v>
      </c>
      <c r="AC28" s="35">
        <f t="shared" si="22"/>
        <v>8.3176513987663032</v>
      </c>
      <c r="AD28" s="54">
        <f t="shared" si="10"/>
        <v>-0.54562063792876569</v>
      </c>
      <c r="AE28" s="30" t="s">
        <v>51</v>
      </c>
      <c r="AF28" s="27"/>
    </row>
    <row r="29" spans="1:32" s="17" customFormat="1" ht="57.75" hidden="1" customHeight="1" x14ac:dyDescent="0.35">
      <c r="A29" s="46" t="s">
        <v>14</v>
      </c>
      <c r="B29" s="47" t="s">
        <v>47</v>
      </c>
      <c r="C29" s="30" t="s">
        <v>48</v>
      </c>
      <c r="D29" s="30" t="s">
        <v>49</v>
      </c>
      <c r="E29" s="48"/>
      <c r="F29" s="33" t="s">
        <v>22</v>
      </c>
      <c r="G29" s="33">
        <v>2025</v>
      </c>
      <c r="H29" s="34">
        <f>'Spectrum Inputs'!B63</f>
        <v>451</v>
      </c>
      <c r="I29" s="34">
        <f>'Spectrum Inputs'!B7</f>
        <v>5744654</v>
      </c>
      <c r="J29" s="35">
        <f t="shared" si="17"/>
        <v>7.8507774358560152</v>
      </c>
      <c r="K29" s="34">
        <f>'Spectrum Inputs'!C63</f>
        <v>384</v>
      </c>
      <c r="L29" s="34">
        <f>'Spectrum Inputs'!C7</f>
        <v>5801465</v>
      </c>
      <c r="M29" s="35">
        <f t="shared" si="18"/>
        <v>6.6190177825773313</v>
      </c>
      <c r="N29" s="54">
        <f t="shared" si="2"/>
        <v>-0.15689651927374731</v>
      </c>
      <c r="O29" s="34">
        <f>'Spectrum Inputs'!D63</f>
        <v>331</v>
      </c>
      <c r="P29" s="34">
        <f>'Spectrum Inputs'!D7</f>
        <v>5864445</v>
      </c>
      <c r="Q29" s="35">
        <f t="shared" si="19"/>
        <v>5.6441828681145445</v>
      </c>
      <c r="R29" s="54">
        <f t="shared" si="4"/>
        <v>-0.28106701352448582</v>
      </c>
      <c r="S29" s="34">
        <f>'Spectrum Inputs'!E63</f>
        <v>257</v>
      </c>
      <c r="T29" s="34">
        <f>'Spectrum Inputs'!E7</f>
        <v>5929584</v>
      </c>
      <c r="U29" s="35">
        <f t="shared" si="20"/>
        <v>4.3341994986494834</v>
      </c>
      <c r="V29" s="54">
        <f t="shared" si="6"/>
        <v>-0.44792735062716743</v>
      </c>
      <c r="W29" s="34">
        <f>'Spectrum Inputs'!F63</f>
        <v>199</v>
      </c>
      <c r="X29" s="34">
        <f>'Spectrum Inputs'!F7</f>
        <v>6007105</v>
      </c>
      <c r="Y29" s="35">
        <f t="shared" si="21"/>
        <v>3.3127438258528858</v>
      </c>
      <c r="Z29" s="54">
        <f t="shared" si="8"/>
        <v>-0.57803620687004253</v>
      </c>
      <c r="AA29" s="34">
        <f>'Spectrum Inputs'!G63</f>
        <v>162</v>
      </c>
      <c r="AB29" s="34">
        <f>'Spectrum Inputs'!G7</f>
        <v>6095185</v>
      </c>
      <c r="AC29" s="35">
        <f t="shared" si="22"/>
        <v>2.657835652240252</v>
      </c>
      <c r="AD29" s="54">
        <f t="shared" si="10"/>
        <v>-0.66145573811564151</v>
      </c>
      <c r="AE29" s="30" t="s">
        <v>51</v>
      </c>
      <c r="AF29" s="27"/>
    </row>
    <row r="30" spans="1:32" s="17" customFormat="1" ht="57.75" hidden="1" customHeight="1" x14ac:dyDescent="0.35">
      <c r="A30" s="46" t="s">
        <v>14</v>
      </c>
      <c r="B30" s="47" t="s">
        <v>47</v>
      </c>
      <c r="C30" s="30" t="s">
        <v>48</v>
      </c>
      <c r="D30" s="30" t="s">
        <v>49</v>
      </c>
      <c r="E30" s="48"/>
      <c r="F30" s="33" t="s">
        <v>23</v>
      </c>
      <c r="G30" s="33">
        <v>2025</v>
      </c>
      <c r="H30" s="34">
        <f>'Spectrum Inputs'!B64</f>
        <v>11822</v>
      </c>
      <c r="I30" s="34">
        <f>'Spectrum Inputs'!B8</f>
        <v>13442033</v>
      </c>
      <c r="J30" s="35">
        <f t="shared" si="17"/>
        <v>87.948006079139972</v>
      </c>
      <c r="K30" s="34">
        <f>'Spectrum Inputs'!C64</f>
        <v>11644</v>
      </c>
      <c r="L30" s="34">
        <f>'Spectrum Inputs'!C8</f>
        <v>13906074</v>
      </c>
      <c r="M30" s="35">
        <f t="shared" si="18"/>
        <v>83.733194573824349</v>
      </c>
      <c r="N30" s="54">
        <f t="shared" si="2"/>
        <v>-4.7923900645603347E-2</v>
      </c>
      <c r="O30" s="34">
        <f>'Spectrum Inputs'!D64</f>
        <v>11359</v>
      </c>
      <c r="P30" s="34">
        <f>'Spectrum Inputs'!D8</f>
        <v>14373096</v>
      </c>
      <c r="Q30" s="35">
        <f t="shared" si="19"/>
        <v>79.029598076851357</v>
      </c>
      <c r="R30" s="54">
        <f t="shared" si="4"/>
        <v>-0.10140545988346103</v>
      </c>
      <c r="S30" s="34">
        <f>'Spectrum Inputs'!E64</f>
        <v>10989</v>
      </c>
      <c r="T30" s="34">
        <f>'Spectrum Inputs'!E8</f>
        <v>14843999</v>
      </c>
      <c r="U30" s="35">
        <f t="shared" si="20"/>
        <v>74.029916062376458</v>
      </c>
      <c r="V30" s="54">
        <f t="shared" si="6"/>
        <v>-0.15825361639511562</v>
      </c>
      <c r="W30" s="34">
        <f>'Spectrum Inputs'!F64</f>
        <v>10681</v>
      </c>
      <c r="X30" s="34">
        <f>'Spectrum Inputs'!F8</f>
        <v>15319611</v>
      </c>
      <c r="Y30" s="35">
        <f t="shared" si="21"/>
        <v>69.721091482022615</v>
      </c>
      <c r="Z30" s="54">
        <f t="shared" si="8"/>
        <v>-0.20724647902438945</v>
      </c>
      <c r="AA30" s="34">
        <f>'Spectrum Inputs'!G64</f>
        <v>10365</v>
      </c>
      <c r="AB30" s="34">
        <f>'Spectrum Inputs'!G8</f>
        <v>15788915</v>
      </c>
      <c r="AC30" s="35">
        <f t="shared" si="22"/>
        <v>65.647322821105817</v>
      </c>
      <c r="AD30" s="54">
        <f t="shared" si="10"/>
        <v>-0.25356667254021537</v>
      </c>
      <c r="AE30" s="30" t="s">
        <v>51</v>
      </c>
      <c r="AF30" s="27"/>
    </row>
    <row r="31" spans="1:32" s="17" customFormat="1" ht="57.75" hidden="1" customHeight="1" x14ac:dyDescent="0.35">
      <c r="A31" s="46" t="s">
        <v>14</v>
      </c>
      <c r="B31" s="47" t="s">
        <v>47</v>
      </c>
      <c r="C31" s="30" t="s">
        <v>48</v>
      </c>
      <c r="D31" s="30" t="s">
        <v>49</v>
      </c>
      <c r="E31" s="48"/>
      <c r="F31" s="33" t="s">
        <v>24</v>
      </c>
      <c r="G31" s="33">
        <v>2025</v>
      </c>
      <c r="H31" s="34">
        <f>'Spectrum Inputs'!B65</f>
        <v>7194</v>
      </c>
      <c r="I31" s="34">
        <f>'Spectrum Inputs'!B9</f>
        <v>11419581</v>
      </c>
      <c r="J31" s="35">
        <f t="shared" si="17"/>
        <v>62.997057422684769</v>
      </c>
      <c r="K31" s="34">
        <f>'Spectrum Inputs'!C65</f>
        <v>7126</v>
      </c>
      <c r="L31" s="34">
        <f>'Spectrum Inputs'!C9</f>
        <v>11706783</v>
      </c>
      <c r="M31" s="35">
        <f t="shared" si="18"/>
        <v>60.870693511616295</v>
      </c>
      <c r="N31" s="54">
        <f t="shared" si="2"/>
        <v>-3.3753384650991425E-2</v>
      </c>
      <c r="O31" s="34">
        <f>'Spectrum Inputs'!D65</f>
        <v>6874</v>
      </c>
      <c r="P31" s="34">
        <f>'Spectrum Inputs'!D9</f>
        <v>11999216</v>
      </c>
      <c r="Q31" s="35">
        <f t="shared" si="19"/>
        <v>57.287076088971141</v>
      </c>
      <c r="R31" s="54">
        <f t="shared" si="4"/>
        <v>-9.0638857866042269E-2</v>
      </c>
      <c r="S31" s="34">
        <f>'Spectrum Inputs'!E65</f>
        <v>6575</v>
      </c>
      <c r="T31" s="34">
        <f>'Spectrum Inputs'!E9</f>
        <v>12294348</v>
      </c>
      <c r="U31" s="35">
        <f t="shared" si="20"/>
        <v>53.479859200341487</v>
      </c>
      <c r="V31" s="54">
        <f t="shared" si="6"/>
        <v>-0.15107369473603716</v>
      </c>
      <c r="W31" s="34">
        <f>'Spectrum Inputs'!F65</f>
        <v>6392</v>
      </c>
      <c r="X31" s="34">
        <f>'Spectrum Inputs'!F9</f>
        <v>12597774</v>
      </c>
      <c r="Y31" s="35">
        <f t="shared" si="21"/>
        <v>50.739122641825453</v>
      </c>
      <c r="Z31" s="54">
        <f t="shared" si="8"/>
        <v>-0.19457948168298611</v>
      </c>
      <c r="AA31" s="34">
        <f>'Spectrum Inputs'!G65</f>
        <v>6224</v>
      </c>
      <c r="AB31" s="34">
        <f>'Spectrum Inputs'!G9</f>
        <v>12900866</v>
      </c>
      <c r="AC31" s="35">
        <f t="shared" si="22"/>
        <v>48.244823254500901</v>
      </c>
      <c r="AD31" s="54">
        <f t="shared" si="10"/>
        <v>-0.23417338478529792</v>
      </c>
      <c r="AE31" s="30" t="s">
        <v>51</v>
      </c>
      <c r="AF31" s="27"/>
    </row>
    <row r="32" spans="1:32" s="17" customFormat="1" ht="57.75" hidden="1" customHeight="1" x14ac:dyDescent="0.35">
      <c r="A32" s="46" t="s">
        <v>14</v>
      </c>
      <c r="B32" s="47" t="s">
        <v>47</v>
      </c>
      <c r="C32" s="30" t="s">
        <v>48</v>
      </c>
      <c r="D32" s="30" t="s">
        <v>49</v>
      </c>
      <c r="E32" s="48"/>
      <c r="F32" s="33" t="s">
        <v>25</v>
      </c>
      <c r="G32" s="33">
        <v>2025</v>
      </c>
      <c r="H32" s="34">
        <f>'Spectrum Inputs'!B66</f>
        <v>5665</v>
      </c>
      <c r="I32" s="34">
        <f>'Spectrum Inputs'!B10</f>
        <v>10962864</v>
      </c>
      <c r="J32" s="35">
        <f t="shared" si="17"/>
        <v>51.674452953169904</v>
      </c>
      <c r="K32" s="34">
        <f>'Spectrum Inputs'!C66</f>
        <v>5469</v>
      </c>
      <c r="L32" s="34">
        <f>'Spectrum Inputs'!C10</f>
        <v>11243897</v>
      </c>
      <c r="M32" s="35">
        <f t="shared" si="18"/>
        <v>48.639719840905691</v>
      </c>
      <c r="N32" s="54">
        <f t="shared" si="2"/>
        <v>-5.8727919481110856E-2</v>
      </c>
      <c r="O32" s="34">
        <f>'Spectrum Inputs'!D66</f>
        <v>5229</v>
      </c>
      <c r="P32" s="34">
        <f>'Spectrum Inputs'!D10</f>
        <v>11529779</v>
      </c>
      <c r="Q32" s="35">
        <f t="shared" si="19"/>
        <v>45.35212687077523</v>
      </c>
      <c r="R32" s="54">
        <f t="shared" si="4"/>
        <v>-0.12234916329204873</v>
      </c>
      <c r="S32" s="34">
        <f>'Spectrum Inputs'!E66</f>
        <v>4994</v>
      </c>
      <c r="T32" s="34">
        <f>'Spectrum Inputs'!E10</f>
        <v>11817768</v>
      </c>
      <c r="U32" s="35">
        <f t="shared" si="20"/>
        <v>42.258402771149342</v>
      </c>
      <c r="V32" s="54">
        <f t="shared" si="6"/>
        <v>-0.18221867177875845</v>
      </c>
      <c r="W32" s="34">
        <f>'Spectrum Inputs'!F66</f>
        <v>4792</v>
      </c>
      <c r="X32" s="34">
        <f>'Spectrum Inputs'!F10</f>
        <v>12114196</v>
      </c>
      <c r="Y32" s="35">
        <f t="shared" si="21"/>
        <v>39.556896718527582</v>
      </c>
      <c r="Z32" s="54">
        <f t="shared" si="8"/>
        <v>-0.23449800708338192</v>
      </c>
      <c r="AA32" s="34">
        <f>'Spectrum Inputs'!G66</f>
        <v>4590</v>
      </c>
      <c r="AB32" s="34">
        <f>'Spectrum Inputs'!G10</f>
        <v>12409685</v>
      </c>
      <c r="AC32" s="35">
        <f t="shared" si="22"/>
        <v>36.987240207950485</v>
      </c>
      <c r="AD32" s="54">
        <f t="shared" si="10"/>
        <v>-0.28422580029109823</v>
      </c>
      <c r="AE32" s="30" t="s">
        <v>51</v>
      </c>
      <c r="AF32" s="27"/>
    </row>
    <row r="33" spans="1:32" s="17" customFormat="1" ht="57.75" hidden="1" customHeight="1" x14ac:dyDescent="0.35">
      <c r="A33" s="46" t="s">
        <v>14</v>
      </c>
      <c r="B33" s="47" t="s">
        <v>47</v>
      </c>
      <c r="C33" s="30" t="s">
        <v>48</v>
      </c>
      <c r="D33" s="30" t="s">
        <v>49</v>
      </c>
      <c r="E33" s="48"/>
      <c r="F33" s="33" t="s">
        <v>26</v>
      </c>
      <c r="G33" s="33">
        <v>2025</v>
      </c>
      <c r="H33" s="34">
        <f>'Spectrum Inputs'!B67</f>
        <v>342</v>
      </c>
      <c r="I33" s="34">
        <f>'Spectrum Inputs'!B11</f>
        <v>1330397</v>
      </c>
      <c r="J33" s="35">
        <f t="shared" si="17"/>
        <v>25.706612387129557</v>
      </c>
      <c r="K33" s="34">
        <f>'Spectrum Inputs'!C67</f>
        <v>323</v>
      </c>
      <c r="L33" s="34">
        <f>'Spectrum Inputs'!C11</f>
        <v>1353435</v>
      </c>
      <c r="M33" s="35">
        <f t="shared" si="18"/>
        <v>23.86520224465896</v>
      </c>
      <c r="N33" s="54">
        <f t="shared" si="2"/>
        <v>-7.1631769862937275E-2</v>
      </c>
      <c r="O33" s="34">
        <f>'Spectrum Inputs'!D67</f>
        <v>299</v>
      </c>
      <c r="P33" s="34">
        <f>'Spectrum Inputs'!D11</f>
        <v>1371236</v>
      </c>
      <c r="Q33" s="35">
        <f t="shared" si="19"/>
        <v>21.805145139129952</v>
      </c>
      <c r="R33" s="54">
        <f t="shared" si="4"/>
        <v>-0.15176901527300968</v>
      </c>
      <c r="S33" s="34">
        <f>'Spectrum Inputs'!E67</f>
        <v>270</v>
      </c>
      <c r="T33" s="34">
        <f>'Spectrum Inputs'!E11</f>
        <v>1386218</v>
      </c>
      <c r="U33" s="35">
        <f t="shared" si="20"/>
        <v>19.477455926845561</v>
      </c>
      <c r="V33" s="54">
        <f t="shared" si="6"/>
        <v>-0.24231728266936978</v>
      </c>
      <c r="W33" s="34">
        <f>'Spectrum Inputs'!F67</f>
        <v>242</v>
      </c>
      <c r="X33" s="34">
        <f>'Spectrum Inputs'!F11</f>
        <v>1396856</v>
      </c>
      <c r="Y33" s="35">
        <f t="shared" si="21"/>
        <v>17.32462043331596</v>
      </c>
      <c r="Z33" s="54">
        <f t="shared" si="8"/>
        <v>-0.32606365349057737</v>
      </c>
      <c r="AA33" s="34">
        <f>'Spectrum Inputs'!G67</f>
        <v>212</v>
      </c>
      <c r="AB33" s="34">
        <f>'Spectrum Inputs'!G11</f>
        <v>1404326</v>
      </c>
      <c r="AC33" s="35">
        <f t="shared" si="22"/>
        <v>15.096209854407023</v>
      </c>
      <c r="AD33" s="54">
        <f t="shared" si="10"/>
        <v>-0.41274993269960408</v>
      </c>
      <c r="AE33" s="30" t="s">
        <v>51</v>
      </c>
      <c r="AF33" s="27"/>
    </row>
    <row r="34" spans="1:32" s="17" customFormat="1" ht="57.75" hidden="1" customHeight="1" x14ac:dyDescent="0.35">
      <c r="A34" s="46" t="s">
        <v>14</v>
      </c>
      <c r="B34" s="47" t="s">
        <v>47</v>
      </c>
      <c r="C34" s="30" t="s">
        <v>48</v>
      </c>
      <c r="D34" s="30" t="s">
        <v>49</v>
      </c>
      <c r="E34" s="48"/>
      <c r="F34" s="33" t="s">
        <v>27</v>
      </c>
      <c r="G34" s="33">
        <v>2025</v>
      </c>
      <c r="H34" s="34">
        <f>'Spectrum Inputs'!B68</f>
        <v>526</v>
      </c>
      <c r="I34" s="34">
        <f>'Spectrum Inputs'!B12</f>
        <v>1126696</v>
      </c>
      <c r="J34" s="35">
        <f t="shared" si="17"/>
        <v>46.685175060530966</v>
      </c>
      <c r="K34" s="34">
        <f>'Spectrum Inputs'!C68</f>
        <v>507</v>
      </c>
      <c r="L34" s="34">
        <f>'Spectrum Inputs'!C12</f>
        <v>1170408</v>
      </c>
      <c r="M34" s="35">
        <f t="shared" si="18"/>
        <v>43.318227489900956</v>
      </c>
      <c r="N34" s="54">
        <f t="shared" si="2"/>
        <v>-7.2120273004535176E-2</v>
      </c>
      <c r="O34" s="34">
        <f>'Spectrum Inputs'!D68</f>
        <v>484</v>
      </c>
      <c r="P34" s="34">
        <f>'Spectrum Inputs'!D12</f>
        <v>1213519</v>
      </c>
      <c r="Q34" s="35">
        <f t="shared" si="19"/>
        <v>39.884006760503951</v>
      </c>
      <c r="R34" s="54">
        <f t="shared" si="4"/>
        <v>-0.14568154218568893</v>
      </c>
      <c r="S34" s="34">
        <f>'Spectrum Inputs'!E68</f>
        <v>454</v>
      </c>
      <c r="T34" s="34">
        <f>'Spectrum Inputs'!E12</f>
        <v>1253971</v>
      </c>
      <c r="U34" s="35">
        <f t="shared" si="20"/>
        <v>36.20498400680718</v>
      </c>
      <c r="V34" s="54">
        <f t="shared" si="6"/>
        <v>-0.22448648934346721</v>
      </c>
      <c r="W34" s="34">
        <f>'Spectrum Inputs'!F68</f>
        <v>431</v>
      </c>
      <c r="X34" s="34">
        <f>'Spectrum Inputs'!F12</f>
        <v>1289970</v>
      </c>
      <c r="Y34" s="35">
        <f t="shared" si="21"/>
        <v>33.411629727823133</v>
      </c>
      <c r="Z34" s="54">
        <f t="shared" si="8"/>
        <v>-0.28432035042168413</v>
      </c>
      <c r="AA34" s="34">
        <f>'Spectrum Inputs'!G68</f>
        <v>410</v>
      </c>
      <c r="AB34" s="34">
        <f>'Spectrum Inputs'!G12</f>
        <v>1318466</v>
      </c>
      <c r="AC34" s="35">
        <f t="shared" si="22"/>
        <v>31.096744246723087</v>
      </c>
      <c r="AD34" s="54">
        <f t="shared" si="10"/>
        <v>-0.33390537346376581</v>
      </c>
      <c r="AE34" s="30" t="s">
        <v>51</v>
      </c>
      <c r="AF34" s="27"/>
    </row>
    <row r="35" spans="1:32" s="17" customFormat="1" ht="57.75" hidden="1" customHeight="1" x14ac:dyDescent="0.35">
      <c r="A35" s="46" t="s">
        <v>14</v>
      </c>
      <c r="B35" s="47" t="s">
        <v>47</v>
      </c>
      <c r="C35" s="30" t="s">
        <v>48</v>
      </c>
      <c r="D35" s="30" t="s">
        <v>49</v>
      </c>
      <c r="E35" s="48"/>
      <c r="F35" s="33" t="s">
        <v>28</v>
      </c>
      <c r="G35" s="33">
        <v>2025</v>
      </c>
      <c r="H35" s="34">
        <f>'Spectrum Inputs'!B69</f>
        <v>377</v>
      </c>
      <c r="I35" s="34">
        <f>'Spectrum Inputs'!B13</f>
        <v>1310146</v>
      </c>
      <c r="J35" s="35">
        <f t="shared" si="17"/>
        <v>28.775418922776545</v>
      </c>
      <c r="K35" s="34">
        <f>'Spectrum Inputs'!C69</f>
        <v>351</v>
      </c>
      <c r="L35" s="34">
        <f>'Spectrum Inputs'!C13</f>
        <v>1334948</v>
      </c>
      <c r="M35" s="35">
        <f t="shared" si="18"/>
        <v>26.293158984469809</v>
      </c>
      <c r="N35" s="54">
        <f t="shared" si="2"/>
        <v>-8.6263207669305494E-2</v>
      </c>
      <c r="O35" s="34">
        <f>'Spectrum Inputs'!D69</f>
        <v>325</v>
      </c>
      <c r="P35" s="34">
        <f>'Spectrum Inputs'!D13</f>
        <v>1354681</v>
      </c>
      <c r="Q35" s="35">
        <f t="shared" si="19"/>
        <v>23.990887891688153</v>
      </c>
      <c r="R35" s="54">
        <f t="shared" si="4"/>
        <v>-0.1662714639855791</v>
      </c>
      <c r="S35" s="34">
        <f>'Spectrum Inputs'!E69</f>
        <v>297</v>
      </c>
      <c r="T35" s="34">
        <f>'Spectrum Inputs'!E13</f>
        <v>1372027</v>
      </c>
      <c r="U35" s="35">
        <f t="shared" si="20"/>
        <v>21.646804326737008</v>
      </c>
      <c r="V35" s="54">
        <f t="shared" si="6"/>
        <v>-0.24773278245471658</v>
      </c>
      <c r="W35" s="34">
        <f>'Spectrum Inputs'!F69</f>
        <v>266</v>
      </c>
      <c r="X35" s="34">
        <f>'Spectrum Inputs'!F13</f>
        <v>1385244</v>
      </c>
      <c r="Y35" s="35">
        <f t="shared" si="21"/>
        <v>19.202393224587151</v>
      </c>
      <c r="Z35" s="54">
        <f t="shared" si="8"/>
        <v>-0.33268067178726901</v>
      </c>
      <c r="AA35" s="34">
        <f>'Spectrum Inputs'!G69</f>
        <v>229</v>
      </c>
      <c r="AB35" s="34">
        <f>'Spectrum Inputs'!G13</f>
        <v>1395124</v>
      </c>
      <c r="AC35" s="35">
        <f t="shared" si="22"/>
        <v>16.414311559402606</v>
      </c>
      <c r="AD35" s="54">
        <f t="shared" si="10"/>
        <v>-0.42957176041631068</v>
      </c>
      <c r="AE35" s="30" t="s">
        <v>51</v>
      </c>
      <c r="AF35" s="27"/>
    </row>
    <row r="36" spans="1:32" s="17" customFormat="1" ht="57.75" hidden="1" customHeight="1" x14ac:dyDescent="0.35">
      <c r="A36" s="46" t="s">
        <v>14</v>
      </c>
      <c r="B36" s="47" t="s">
        <v>47</v>
      </c>
      <c r="C36" s="30" t="s">
        <v>48</v>
      </c>
      <c r="D36" s="30" t="s">
        <v>49</v>
      </c>
      <c r="E36" s="48"/>
      <c r="F36" s="33" t="s">
        <v>29</v>
      </c>
      <c r="G36" s="33">
        <v>2025</v>
      </c>
      <c r="H36" s="34">
        <f>'Spectrum Inputs'!B70</f>
        <v>423</v>
      </c>
      <c r="I36" s="34">
        <f>'Spectrum Inputs'!B14</f>
        <v>1103171</v>
      </c>
      <c r="J36" s="35">
        <f t="shared" si="17"/>
        <v>38.344010130795681</v>
      </c>
      <c r="K36" s="34">
        <f>'Spectrum Inputs'!C70</f>
        <v>410</v>
      </c>
      <c r="L36" s="34">
        <f>'Spectrum Inputs'!C14</f>
        <v>1145142</v>
      </c>
      <c r="M36" s="35">
        <f t="shared" si="18"/>
        <v>35.803420012539931</v>
      </c>
      <c r="N36" s="54">
        <f t="shared" si="2"/>
        <v>-6.6257809488092526E-2</v>
      </c>
      <c r="O36" s="34">
        <f>'Spectrum Inputs'!D70</f>
        <v>398</v>
      </c>
      <c r="P36" s="34">
        <f>'Spectrum Inputs'!D14</f>
        <v>1187140</v>
      </c>
      <c r="Q36" s="35">
        <f t="shared" si="19"/>
        <v>33.525953131054472</v>
      </c>
      <c r="R36" s="54">
        <f t="shared" si="4"/>
        <v>-0.12565344582651322</v>
      </c>
      <c r="S36" s="34">
        <f>'Spectrum Inputs'!E70</f>
        <v>381</v>
      </c>
      <c r="T36" s="34">
        <f>'Spectrum Inputs'!E14</f>
        <v>1226922</v>
      </c>
      <c r="U36" s="35">
        <f t="shared" si="20"/>
        <v>31.053318792881697</v>
      </c>
      <c r="V36" s="54">
        <f t="shared" si="6"/>
        <v>-0.19013898945479685</v>
      </c>
      <c r="W36" s="34">
        <f>'Spectrum Inputs'!F70</f>
        <v>364</v>
      </c>
      <c r="X36" s="34">
        <f>'Spectrum Inputs'!F14</f>
        <v>1263077</v>
      </c>
      <c r="Y36" s="35">
        <f t="shared" si="21"/>
        <v>28.818512252222153</v>
      </c>
      <c r="Z36" s="54">
        <f t="shared" si="8"/>
        <v>-0.24842205721522073</v>
      </c>
      <c r="AA36" s="34">
        <f>'Spectrum Inputs'!G70</f>
        <v>347</v>
      </c>
      <c r="AB36" s="34">
        <f>'Spectrum Inputs'!G14</f>
        <v>1292620</v>
      </c>
      <c r="AC36" s="35">
        <f t="shared" si="22"/>
        <v>26.844703006297291</v>
      </c>
      <c r="AD36" s="54">
        <f t="shared" si="10"/>
        <v>-0.29989839574089866</v>
      </c>
      <c r="AE36" s="30" t="s">
        <v>51</v>
      </c>
      <c r="AF36" s="27"/>
    </row>
    <row r="37" spans="1:32" s="17" customFormat="1" ht="96.75" hidden="1" customHeight="1" x14ac:dyDescent="0.35">
      <c r="A37" s="50" t="s">
        <v>14</v>
      </c>
      <c r="B37" s="51" t="s">
        <v>52</v>
      </c>
      <c r="C37" s="19" t="s">
        <v>53</v>
      </c>
      <c r="D37" s="19" t="s">
        <v>54</v>
      </c>
      <c r="E37" s="52" t="s">
        <v>55</v>
      </c>
      <c r="F37" s="22" t="s">
        <v>56</v>
      </c>
      <c r="G37" s="22">
        <v>2025</v>
      </c>
      <c r="H37" s="23">
        <f>I37*J37/100</f>
        <v>1734.7228</v>
      </c>
      <c r="I37" s="23">
        <f>'Spectrum Inputs'!B97</f>
        <v>29452</v>
      </c>
      <c r="J37" s="24">
        <f>'Spectrum Inputs'!B99</f>
        <v>5.89</v>
      </c>
      <c r="K37" s="23">
        <f>L37*M37/100</f>
        <v>1427.9832000000001</v>
      </c>
      <c r="L37" s="23">
        <f>'Spectrum Inputs'!C97</f>
        <v>27356</v>
      </c>
      <c r="M37" s="24">
        <f>'Spectrum Inputs'!C99</f>
        <v>5.22</v>
      </c>
      <c r="N37" s="55">
        <f t="shared" si="2"/>
        <v>-0.11375212224108658</v>
      </c>
      <c r="O37" s="23">
        <f>P37*Q37/100</f>
        <v>1337.6148000000001</v>
      </c>
      <c r="P37" s="23">
        <f>'Spectrum Inputs'!D97</f>
        <v>25527</v>
      </c>
      <c r="Q37" s="24">
        <f>'Spectrum Inputs'!D99</f>
        <v>5.24</v>
      </c>
      <c r="R37" s="55">
        <f t="shared" si="4"/>
        <v>-0.11035653650254661</v>
      </c>
      <c r="S37" s="23">
        <f>T37*U37/100</f>
        <v>1264.9896000000001</v>
      </c>
      <c r="T37" s="23">
        <f>'Spectrum Inputs'!E97</f>
        <v>23778</v>
      </c>
      <c r="U37" s="24">
        <f>'Spectrum Inputs'!E99</f>
        <v>5.32</v>
      </c>
      <c r="V37" s="55">
        <f t="shared" si="6"/>
        <v>-9.6774193548386997E-2</v>
      </c>
      <c r="W37" s="23">
        <f>X37*Y37/100</f>
        <v>1204.7033999999999</v>
      </c>
      <c r="X37" s="23">
        <f>'Spectrum Inputs'!F97</f>
        <v>22227</v>
      </c>
      <c r="Y37" s="24">
        <f>'Spectrum Inputs'!F99</f>
        <v>5.42</v>
      </c>
      <c r="Z37" s="55">
        <f t="shared" si="8"/>
        <v>-7.9796264855687568E-2</v>
      </c>
      <c r="AA37" s="23">
        <f>AB37*AC37/100</f>
        <v>1148.9739999999999</v>
      </c>
      <c r="AB37" s="23">
        <f>'Spectrum Inputs'!G97</f>
        <v>20665</v>
      </c>
      <c r="AC37" s="24">
        <f>'Spectrum Inputs'!G99</f>
        <v>5.56</v>
      </c>
      <c r="AD37" s="55">
        <f t="shared" si="10"/>
        <v>-5.6027164685908334E-2</v>
      </c>
      <c r="AE37" s="19" t="s">
        <v>57</v>
      </c>
      <c r="AF37" s="27"/>
    </row>
    <row r="38" spans="1:32" s="17" customFormat="1" ht="30" hidden="1" customHeight="1" x14ac:dyDescent="0.35">
      <c r="A38" s="46" t="s">
        <v>58</v>
      </c>
      <c r="B38" s="47" t="s">
        <v>59</v>
      </c>
      <c r="C38" s="30" t="s">
        <v>60</v>
      </c>
      <c r="D38" s="30" t="s">
        <v>16</v>
      </c>
      <c r="E38" s="48" t="s">
        <v>61</v>
      </c>
      <c r="F38" s="33" t="s">
        <v>19</v>
      </c>
      <c r="G38" s="33">
        <v>2025</v>
      </c>
      <c r="H38" s="34">
        <f>'Spectrum Inputs'!C116</f>
        <v>963044.9375</v>
      </c>
      <c r="I38" s="34">
        <f>'Spectrum Inputs'!B116</f>
        <v>1006958.688</v>
      </c>
      <c r="J38" s="38">
        <f t="shared" ref="J38:J47" si="23">IFERROR(H38/I38*100,"")</f>
        <v>95.638971983327295</v>
      </c>
      <c r="K38" s="34">
        <f t="shared" ref="K38:K47" si="24">IFERROR(M38/100*L38,"")</f>
        <v>956610.75359999994</v>
      </c>
      <c r="L38" s="34">
        <f t="shared" ref="L38:L47" si="25">I38</f>
        <v>1006958.688</v>
      </c>
      <c r="M38" s="38">
        <f>95</f>
        <v>95</v>
      </c>
      <c r="N38" s="54">
        <f t="shared" ref="N38:N57" si="26">IFERROR((M38-J38)/J38,"")</f>
        <v>-6.6810837682225047E-3</v>
      </c>
      <c r="O38" s="34">
        <f t="shared" ref="O38:O47" si="27">IFERROR(Q38/100*P38,"")</f>
        <v>956610.75359999994</v>
      </c>
      <c r="P38" s="34">
        <f t="shared" ref="P38:P47" si="28">I38</f>
        <v>1006958.688</v>
      </c>
      <c r="Q38" s="38">
        <f>95</f>
        <v>95</v>
      </c>
      <c r="R38" s="54">
        <f t="shared" ref="R38:R57" si="29">IFERROR((Q38-J38)/J38,"")</f>
        <v>-6.6810837682225047E-3</v>
      </c>
      <c r="S38" s="34">
        <f t="shared" ref="S38:S47" si="30">IFERROR(U38/100*T38,"")</f>
        <v>956610.75359999994</v>
      </c>
      <c r="T38" s="34">
        <f t="shared" ref="T38:T47" si="31">I38</f>
        <v>1006958.688</v>
      </c>
      <c r="U38" s="38">
        <f>95</f>
        <v>95</v>
      </c>
      <c r="V38" s="54">
        <f t="shared" ref="V38:V57" si="32">IFERROR((U38-J38)/J38,"")</f>
        <v>-6.6810837682225047E-3</v>
      </c>
      <c r="W38" s="34">
        <f t="shared" ref="W38:W47" si="33">IFERROR(Y38/100*X38,"")</f>
        <v>956610.75359999994</v>
      </c>
      <c r="X38" s="34">
        <f t="shared" ref="X38:X47" si="34">I38</f>
        <v>1006958.688</v>
      </c>
      <c r="Y38" s="38">
        <f>95</f>
        <v>95</v>
      </c>
      <c r="Z38" s="54">
        <f t="shared" ref="Z38:Z57" si="35">IFERROR((Y38-J38)/J38,"")</f>
        <v>-6.6810837682225047E-3</v>
      </c>
      <c r="AA38" s="34">
        <f t="shared" ref="AA38:AA47" si="36">IFERROR(AC38/100*AB38,"")</f>
        <v>956610.75359999994</v>
      </c>
      <c r="AB38" s="34">
        <f t="shared" ref="AB38:AB47" si="37">I38</f>
        <v>1006958.688</v>
      </c>
      <c r="AC38" s="38">
        <f>95</f>
        <v>95</v>
      </c>
      <c r="AD38" s="54">
        <f t="shared" ref="AD38:AD57" si="38">IFERROR((AC38-J38)/J38,"")</f>
        <v>-6.6810837682225047E-3</v>
      </c>
      <c r="AE38" s="30" t="s">
        <v>62</v>
      </c>
      <c r="AF38" s="27"/>
    </row>
    <row r="39" spans="1:32" s="17" customFormat="1" ht="96.75" hidden="1" customHeight="1" x14ac:dyDescent="0.35">
      <c r="A39" s="46" t="s">
        <v>58</v>
      </c>
      <c r="B39" s="47" t="s">
        <v>59</v>
      </c>
      <c r="C39" s="30" t="s">
        <v>60</v>
      </c>
      <c r="D39" s="30" t="s">
        <v>16</v>
      </c>
      <c r="E39" s="48"/>
      <c r="F39" s="33" t="s">
        <v>46</v>
      </c>
      <c r="G39" s="33">
        <v>2025</v>
      </c>
      <c r="H39" s="34">
        <f>'Spectrum Inputs'!C118</f>
        <v>36740.894529999998</v>
      </c>
      <c r="I39" s="34">
        <f>'Spectrum Inputs'!B118</f>
        <v>42116.601560000003</v>
      </c>
      <c r="J39" s="38">
        <f t="shared" si="23"/>
        <v>87.236132947855054</v>
      </c>
      <c r="K39" s="34">
        <f t="shared" si="24"/>
        <v>36973.703904799993</v>
      </c>
      <c r="L39" s="34">
        <f t="shared" si="25"/>
        <v>42116.601560000003</v>
      </c>
      <c r="M39" s="38">
        <f>IFERROR(J39+(90-J39)*1/5,"")</f>
        <v>87.788906358284038</v>
      </c>
      <c r="N39" s="54">
        <f t="shared" si="26"/>
        <v>6.3365189600896321E-3</v>
      </c>
      <c r="O39" s="34">
        <f t="shared" si="27"/>
        <v>37206.513279600003</v>
      </c>
      <c r="P39" s="34">
        <f t="shared" si="28"/>
        <v>42116.601560000003</v>
      </c>
      <c r="Q39" s="38">
        <f>IFERROR(J39+(90-J39)*2/5,"")</f>
        <v>88.341679768713036</v>
      </c>
      <c r="R39" s="54">
        <f t="shared" si="29"/>
        <v>1.2673037920179427E-2</v>
      </c>
      <c r="S39" s="34">
        <f t="shared" si="30"/>
        <v>37439.322654399999</v>
      </c>
      <c r="T39" s="34">
        <f t="shared" si="31"/>
        <v>42116.601560000003</v>
      </c>
      <c r="U39" s="38">
        <f>IFERROR(J39+(90-J39)*3/5,"")</f>
        <v>88.894453179142019</v>
      </c>
      <c r="V39" s="54">
        <f t="shared" si="32"/>
        <v>1.9009556880269059E-2</v>
      </c>
      <c r="W39" s="34">
        <f t="shared" si="33"/>
        <v>37672.132029200002</v>
      </c>
      <c r="X39" s="34">
        <f t="shared" si="34"/>
        <v>42116.601560000003</v>
      </c>
      <c r="Y39" s="38">
        <f>IFERROR(J39+(90-J39)*4/5,"")</f>
        <v>89.447226589571017</v>
      </c>
      <c r="Z39" s="54">
        <f t="shared" si="35"/>
        <v>2.5346075840358855E-2</v>
      </c>
      <c r="AA39" s="34">
        <f t="shared" si="36"/>
        <v>37904.941404000005</v>
      </c>
      <c r="AB39" s="34">
        <f t="shared" si="37"/>
        <v>42116.601560000003</v>
      </c>
      <c r="AC39" s="38">
        <f>IFERROR(J39+(90-J39)*5/5,"")</f>
        <v>90</v>
      </c>
      <c r="AD39" s="54">
        <f t="shared" si="38"/>
        <v>3.1682594800448487E-2</v>
      </c>
      <c r="AE39" s="30" t="s">
        <v>63</v>
      </c>
      <c r="AF39" s="27"/>
    </row>
    <row r="40" spans="1:32" s="17" customFormat="1" ht="96.75" hidden="1" customHeight="1" x14ac:dyDescent="0.35">
      <c r="A40" s="46" t="s">
        <v>58</v>
      </c>
      <c r="B40" s="47" t="s">
        <v>59</v>
      </c>
      <c r="C40" s="30" t="s">
        <v>60</v>
      </c>
      <c r="D40" s="30" t="s">
        <v>16</v>
      </c>
      <c r="E40" s="48"/>
      <c r="F40" s="33" t="s">
        <v>23</v>
      </c>
      <c r="G40" s="33">
        <v>2025</v>
      </c>
      <c r="H40" s="34">
        <f>'Spectrum Inputs'!C117</f>
        <v>926304.0625</v>
      </c>
      <c r="I40" s="34">
        <f>'Spectrum Inputs'!B117</f>
        <v>964842.0625</v>
      </c>
      <c r="J40" s="38">
        <f t="shared" si="23"/>
        <v>96.005771151794079</v>
      </c>
      <c r="K40" s="34">
        <f t="shared" si="24"/>
        <v>916599.95937499998</v>
      </c>
      <c r="L40" s="34">
        <f t="shared" si="25"/>
        <v>964842.0625</v>
      </c>
      <c r="M40" s="38">
        <f>95</f>
        <v>95</v>
      </c>
      <c r="N40" s="54">
        <f t="shared" si="26"/>
        <v>-1.0476153045048311E-2</v>
      </c>
      <c r="O40" s="34">
        <f t="shared" si="27"/>
        <v>916599.95937499998</v>
      </c>
      <c r="P40" s="34">
        <f t="shared" si="28"/>
        <v>964842.0625</v>
      </c>
      <c r="Q40" s="38">
        <f>95</f>
        <v>95</v>
      </c>
      <c r="R40" s="54">
        <f t="shared" si="29"/>
        <v>-1.0476153045048311E-2</v>
      </c>
      <c r="S40" s="34">
        <f t="shared" si="30"/>
        <v>916599.95937499998</v>
      </c>
      <c r="T40" s="34">
        <f t="shared" si="31"/>
        <v>964842.0625</v>
      </c>
      <c r="U40" s="38">
        <f>95</f>
        <v>95</v>
      </c>
      <c r="V40" s="54">
        <f t="shared" si="32"/>
        <v>-1.0476153045048311E-2</v>
      </c>
      <c r="W40" s="34">
        <f t="shared" si="33"/>
        <v>916599.95937499998</v>
      </c>
      <c r="X40" s="34">
        <f t="shared" si="34"/>
        <v>964842.0625</v>
      </c>
      <c r="Y40" s="38">
        <f>95</f>
        <v>95</v>
      </c>
      <c r="Z40" s="54">
        <f t="shared" si="35"/>
        <v>-1.0476153045048311E-2</v>
      </c>
      <c r="AA40" s="34">
        <f t="shared" si="36"/>
        <v>916599.95937499998</v>
      </c>
      <c r="AB40" s="34">
        <f t="shared" si="37"/>
        <v>964842.0625</v>
      </c>
      <c r="AC40" s="38">
        <f>95</f>
        <v>95</v>
      </c>
      <c r="AD40" s="54">
        <f t="shared" si="38"/>
        <v>-1.0476153045048311E-2</v>
      </c>
      <c r="AE40" s="30" t="s">
        <v>62</v>
      </c>
      <c r="AF40" s="27"/>
    </row>
    <row r="41" spans="1:32" s="17" customFormat="1" ht="96.75" hidden="1" customHeight="1" x14ac:dyDescent="0.35">
      <c r="A41" s="46" t="s">
        <v>58</v>
      </c>
      <c r="B41" s="47" t="s">
        <v>59</v>
      </c>
      <c r="C41" s="30" t="s">
        <v>60</v>
      </c>
      <c r="D41" s="30" t="s">
        <v>16</v>
      </c>
      <c r="E41" s="48"/>
      <c r="F41" s="33" t="s">
        <v>24</v>
      </c>
      <c r="G41" s="33">
        <v>2025</v>
      </c>
      <c r="H41" s="34">
        <f>'Spectrum Inputs'!C120</f>
        <v>607668.3125</v>
      </c>
      <c r="I41" s="34">
        <f>'Spectrum Inputs'!B120</f>
        <v>625435.1875</v>
      </c>
      <c r="J41" s="38">
        <f t="shared" si="23"/>
        <v>97.159277994732264</v>
      </c>
      <c r="K41" s="34">
        <f t="shared" si="24"/>
        <v>594163.42812499998</v>
      </c>
      <c r="L41" s="34">
        <f t="shared" si="25"/>
        <v>625435.1875</v>
      </c>
      <c r="M41" s="38">
        <f>95</f>
        <v>95</v>
      </c>
      <c r="N41" s="54">
        <f t="shared" si="26"/>
        <v>-2.2224104988196131E-2</v>
      </c>
      <c r="O41" s="34">
        <f t="shared" si="27"/>
        <v>594163.42812499998</v>
      </c>
      <c r="P41" s="34">
        <f t="shared" si="28"/>
        <v>625435.1875</v>
      </c>
      <c r="Q41" s="38">
        <f>95</f>
        <v>95</v>
      </c>
      <c r="R41" s="54">
        <f t="shared" si="29"/>
        <v>-2.2224104988196131E-2</v>
      </c>
      <c r="S41" s="34">
        <f t="shared" si="30"/>
        <v>594163.42812499998</v>
      </c>
      <c r="T41" s="34">
        <f t="shared" si="31"/>
        <v>625435.1875</v>
      </c>
      <c r="U41" s="38">
        <f>95</f>
        <v>95</v>
      </c>
      <c r="V41" s="54">
        <f t="shared" si="32"/>
        <v>-2.2224104988196131E-2</v>
      </c>
      <c r="W41" s="34">
        <f t="shared" si="33"/>
        <v>594163.42812499998</v>
      </c>
      <c r="X41" s="34">
        <f t="shared" si="34"/>
        <v>625435.1875</v>
      </c>
      <c r="Y41" s="38">
        <f>95</f>
        <v>95</v>
      </c>
      <c r="Z41" s="54">
        <f t="shared" si="35"/>
        <v>-2.2224104988196131E-2</v>
      </c>
      <c r="AA41" s="34">
        <f t="shared" si="36"/>
        <v>594163.42812499998</v>
      </c>
      <c r="AB41" s="34">
        <f t="shared" si="37"/>
        <v>625435.1875</v>
      </c>
      <c r="AC41" s="38">
        <f>95</f>
        <v>95</v>
      </c>
      <c r="AD41" s="54">
        <f t="shared" si="38"/>
        <v>-2.2224104988196131E-2</v>
      </c>
      <c r="AE41" s="30" t="s">
        <v>62</v>
      </c>
      <c r="AF41" s="27"/>
    </row>
    <row r="42" spans="1:32" s="17" customFormat="1" ht="96.75" hidden="1" customHeight="1" x14ac:dyDescent="0.35">
      <c r="A42" s="46" t="s">
        <v>58</v>
      </c>
      <c r="B42" s="47" t="s">
        <v>59</v>
      </c>
      <c r="C42" s="30" t="s">
        <v>60</v>
      </c>
      <c r="D42" s="30" t="s">
        <v>16</v>
      </c>
      <c r="E42" s="48"/>
      <c r="F42" s="33" t="s">
        <v>25</v>
      </c>
      <c r="G42" s="33">
        <v>2025</v>
      </c>
      <c r="H42" s="34">
        <f>'Spectrum Inputs'!C119</f>
        <v>318635.75</v>
      </c>
      <c r="I42" s="34">
        <f>'Spectrum Inputs'!B119</f>
        <v>339406.9375</v>
      </c>
      <c r="J42" s="38">
        <f t="shared" si="23"/>
        <v>93.880152346620775</v>
      </c>
      <c r="K42" s="34">
        <f t="shared" si="24"/>
        <v>322436.59062500001</v>
      </c>
      <c r="L42" s="34">
        <f t="shared" si="25"/>
        <v>339406.9375</v>
      </c>
      <c r="M42" s="38">
        <f>95</f>
        <v>95</v>
      </c>
      <c r="N42" s="54">
        <f t="shared" si="26"/>
        <v>1.1928481424322417E-2</v>
      </c>
      <c r="O42" s="34">
        <f t="shared" si="27"/>
        <v>322436.59062500001</v>
      </c>
      <c r="P42" s="34">
        <f t="shared" si="28"/>
        <v>339406.9375</v>
      </c>
      <c r="Q42" s="38">
        <f>95</f>
        <v>95</v>
      </c>
      <c r="R42" s="54">
        <f t="shared" si="29"/>
        <v>1.1928481424322417E-2</v>
      </c>
      <c r="S42" s="34">
        <f t="shared" si="30"/>
        <v>322436.59062500001</v>
      </c>
      <c r="T42" s="34">
        <f t="shared" si="31"/>
        <v>339406.9375</v>
      </c>
      <c r="U42" s="38">
        <f>95</f>
        <v>95</v>
      </c>
      <c r="V42" s="54">
        <f t="shared" si="32"/>
        <v>1.1928481424322417E-2</v>
      </c>
      <c r="W42" s="34">
        <f t="shared" si="33"/>
        <v>322436.59062500001</v>
      </c>
      <c r="X42" s="34">
        <f t="shared" si="34"/>
        <v>339406.9375</v>
      </c>
      <c r="Y42" s="38">
        <f>95</f>
        <v>95</v>
      </c>
      <c r="Z42" s="54">
        <f t="shared" si="35"/>
        <v>1.1928481424322417E-2</v>
      </c>
      <c r="AA42" s="34">
        <f t="shared" si="36"/>
        <v>322436.59062500001</v>
      </c>
      <c r="AB42" s="34">
        <f t="shared" si="37"/>
        <v>339406.9375</v>
      </c>
      <c r="AC42" s="38">
        <f>95</f>
        <v>95</v>
      </c>
      <c r="AD42" s="54">
        <f t="shared" si="38"/>
        <v>1.1928481424322417E-2</v>
      </c>
      <c r="AE42" s="30" t="s">
        <v>62</v>
      </c>
      <c r="AF42" s="27"/>
    </row>
    <row r="43" spans="1:32" s="17" customFormat="1" ht="96.75" hidden="1" customHeight="1" x14ac:dyDescent="0.35">
      <c r="A43" s="50" t="s">
        <v>58</v>
      </c>
      <c r="B43" s="51" t="s">
        <v>64</v>
      </c>
      <c r="C43" s="19" t="s">
        <v>65</v>
      </c>
      <c r="D43" s="19" t="s">
        <v>66</v>
      </c>
      <c r="E43" s="52" t="s">
        <v>67</v>
      </c>
      <c r="F43" s="22" t="s">
        <v>19</v>
      </c>
      <c r="G43" s="22">
        <v>2025</v>
      </c>
      <c r="H43" s="23">
        <f>'Spectrum Inputs'!E116</f>
        <v>862058.5625</v>
      </c>
      <c r="I43" s="23">
        <f>'Spectrum Inputs'!D116</f>
        <v>896938.375</v>
      </c>
      <c r="J43" s="24">
        <f t="shared" si="23"/>
        <v>96.111236460364395</v>
      </c>
      <c r="K43" s="23">
        <f t="shared" si="24"/>
        <v>852091.45624999993</v>
      </c>
      <c r="L43" s="23">
        <f t="shared" si="25"/>
        <v>896938.375</v>
      </c>
      <c r="M43" s="24">
        <f>95</f>
        <v>95</v>
      </c>
      <c r="N43" s="55">
        <f t="shared" si="26"/>
        <v>-1.1561982774227044E-2</v>
      </c>
      <c r="O43" s="23">
        <f t="shared" si="27"/>
        <v>852091.45624999993</v>
      </c>
      <c r="P43" s="23">
        <f t="shared" si="28"/>
        <v>896938.375</v>
      </c>
      <c r="Q43" s="24">
        <f>95</f>
        <v>95</v>
      </c>
      <c r="R43" s="55">
        <f t="shared" si="29"/>
        <v>-1.1561982774227044E-2</v>
      </c>
      <c r="S43" s="23">
        <f t="shared" si="30"/>
        <v>852091.45624999993</v>
      </c>
      <c r="T43" s="23">
        <f t="shared" si="31"/>
        <v>896938.375</v>
      </c>
      <c r="U43" s="24">
        <f>95</f>
        <v>95</v>
      </c>
      <c r="V43" s="55">
        <f t="shared" si="32"/>
        <v>-1.1561982774227044E-2</v>
      </c>
      <c r="W43" s="23">
        <f t="shared" si="33"/>
        <v>852091.45624999993</v>
      </c>
      <c r="X43" s="23">
        <f t="shared" si="34"/>
        <v>896938.375</v>
      </c>
      <c r="Y43" s="24">
        <f>95</f>
        <v>95</v>
      </c>
      <c r="Z43" s="55">
        <f t="shared" si="35"/>
        <v>-1.1561982774227044E-2</v>
      </c>
      <c r="AA43" s="23">
        <f t="shared" si="36"/>
        <v>852091.45624999993</v>
      </c>
      <c r="AB43" s="23">
        <f t="shared" si="37"/>
        <v>896938.375</v>
      </c>
      <c r="AC43" s="24">
        <f>95</f>
        <v>95</v>
      </c>
      <c r="AD43" s="55">
        <f t="shared" si="38"/>
        <v>-1.1561982774227044E-2</v>
      </c>
      <c r="AE43" s="19" t="s">
        <v>68</v>
      </c>
      <c r="AF43" s="27"/>
    </row>
    <row r="44" spans="1:32" s="17" customFormat="1" ht="96.75" hidden="1" customHeight="1" x14ac:dyDescent="0.35">
      <c r="A44" s="50" t="s">
        <v>58</v>
      </c>
      <c r="B44" s="51" t="s">
        <v>64</v>
      </c>
      <c r="C44" s="19" t="s">
        <v>65</v>
      </c>
      <c r="D44" s="19" t="s">
        <v>66</v>
      </c>
      <c r="E44" s="52"/>
      <c r="F44" s="22" t="s">
        <v>46</v>
      </c>
      <c r="G44" s="22">
        <v>2025</v>
      </c>
      <c r="H44" s="23">
        <f>'Spectrum Inputs'!E118</f>
        <v>24563.070309999999</v>
      </c>
      <c r="I44" s="23">
        <f>'Spectrum Inputs'!D118</f>
        <v>28195</v>
      </c>
      <c r="J44" s="24">
        <f t="shared" si="23"/>
        <v>87.118532754034405</v>
      </c>
      <c r="K44" s="23">
        <f t="shared" si="24"/>
        <v>24725.556247999997</v>
      </c>
      <c r="L44" s="23">
        <f t="shared" si="25"/>
        <v>28195</v>
      </c>
      <c r="M44" s="24">
        <f>IFERROR(J44+(90-J44)*1/5,"")</f>
        <v>87.694826203227521</v>
      </c>
      <c r="N44" s="55">
        <f t="shared" si="26"/>
        <v>6.6150499896524993E-3</v>
      </c>
      <c r="O44" s="23">
        <f t="shared" si="27"/>
        <v>24888.042185999999</v>
      </c>
      <c r="P44" s="23">
        <f t="shared" si="28"/>
        <v>28195</v>
      </c>
      <c r="Q44" s="24">
        <f>IFERROR(J44+(90-J44)*2/5,"")</f>
        <v>88.271119652420637</v>
      </c>
      <c r="R44" s="55">
        <f t="shared" si="29"/>
        <v>1.3230099979304999E-2</v>
      </c>
      <c r="S44" s="23">
        <f t="shared" si="30"/>
        <v>25050.528124000004</v>
      </c>
      <c r="T44" s="23">
        <f t="shared" si="31"/>
        <v>28195</v>
      </c>
      <c r="U44" s="24">
        <f>IFERROR(J44+(90-J44)*3/5,"")</f>
        <v>88.847413101613768</v>
      </c>
      <c r="V44" s="55">
        <f t="shared" si="32"/>
        <v>1.984514996895766E-2</v>
      </c>
      <c r="W44" s="23">
        <f t="shared" si="33"/>
        <v>25213.014061999998</v>
      </c>
      <c r="X44" s="23">
        <f t="shared" si="34"/>
        <v>28195</v>
      </c>
      <c r="Y44" s="24">
        <f>IFERROR(J44+(90-J44)*4/5,"")</f>
        <v>89.423706550806884</v>
      </c>
      <c r="Z44" s="55">
        <f t="shared" si="35"/>
        <v>2.646019995861016E-2</v>
      </c>
      <c r="AA44" s="23">
        <f t="shared" si="36"/>
        <v>25375.5</v>
      </c>
      <c r="AB44" s="23">
        <f t="shared" si="37"/>
        <v>28195</v>
      </c>
      <c r="AC44" s="24">
        <f>IFERROR(J44+(90-J44)*5/5,"")</f>
        <v>90</v>
      </c>
      <c r="AD44" s="55">
        <f t="shared" si="38"/>
        <v>3.3075249948262657E-2</v>
      </c>
      <c r="AE44" s="19" t="s">
        <v>69</v>
      </c>
      <c r="AF44" s="27"/>
    </row>
    <row r="45" spans="1:32" s="17" customFormat="1" ht="96.75" hidden="1" customHeight="1" x14ac:dyDescent="0.35">
      <c r="A45" s="50" t="s">
        <v>58</v>
      </c>
      <c r="B45" s="51" t="s">
        <v>64</v>
      </c>
      <c r="C45" s="19" t="s">
        <v>65</v>
      </c>
      <c r="D45" s="19" t="s">
        <v>66</v>
      </c>
      <c r="E45" s="52"/>
      <c r="F45" s="22" t="s">
        <v>23</v>
      </c>
      <c r="G45" s="22">
        <v>2025</v>
      </c>
      <c r="H45" s="23">
        <f>'Spectrum Inputs'!E117</f>
        <v>837495.5</v>
      </c>
      <c r="I45" s="23">
        <f>'Spectrum Inputs'!D117</f>
        <v>868743.375</v>
      </c>
      <c r="J45" s="24">
        <f t="shared" si="23"/>
        <v>96.403094872522061</v>
      </c>
      <c r="K45" s="23">
        <f t="shared" si="24"/>
        <v>825306.20624999993</v>
      </c>
      <c r="L45" s="23">
        <f t="shared" si="25"/>
        <v>868743.375</v>
      </c>
      <c r="M45" s="24">
        <f>95</f>
        <v>95</v>
      </c>
      <c r="N45" s="55">
        <f t="shared" si="26"/>
        <v>-1.4554458800077254E-2</v>
      </c>
      <c r="O45" s="23">
        <f t="shared" si="27"/>
        <v>825306.20624999993</v>
      </c>
      <c r="P45" s="23">
        <f t="shared" si="28"/>
        <v>868743.375</v>
      </c>
      <c r="Q45" s="24">
        <f>95</f>
        <v>95</v>
      </c>
      <c r="R45" s="55">
        <f t="shared" si="29"/>
        <v>-1.4554458800077254E-2</v>
      </c>
      <c r="S45" s="23">
        <f t="shared" si="30"/>
        <v>825306.20624999993</v>
      </c>
      <c r="T45" s="23">
        <f t="shared" si="31"/>
        <v>868743.375</v>
      </c>
      <c r="U45" s="24">
        <f>95</f>
        <v>95</v>
      </c>
      <c r="V45" s="55">
        <f t="shared" si="32"/>
        <v>-1.4554458800077254E-2</v>
      </c>
      <c r="W45" s="23">
        <f t="shared" si="33"/>
        <v>825306.20624999993</v>
      </c>
      <c r="X45" s="23">
        <f t="shared" si="34"/>
        <v>868743.375</v>
      </c>
      <c r="Y45" s="24">
        <f>95</f>
        <v>95</v>
      </c>
      <c r="Z45" s="55">
        <f t="shared" si="35"/>
        <v>-1.4554458800077254E-2</v>
      </c>
      <c r="AA45" s="23">
        <f t="shared" si="36"/>
        <v>825306.20624999993</v>
      </c>
      <c r="AB45" s="23">
        <f t="shared" si="37"/>
        <v>868743.375</v>
      </c>
      <c r="AC45" s="24">
        <f>95</f>
        <v>95</v>
      </c>
      <c r="AD45" s="55">
        <f t="shared" si="38"/>
        <v>-1.4554458800077254E-2</v>
      </c>
      <c r="AE45" s="19" t="s">
        <v>68</v>
      </c>
      <c r="AF45" s="27"/>
    </row>
    <row r="46" spans="1:32" s="17" customFormat="1" ht="96.75" hidden="1" customHeight="1" x14ac:dyDescent="0.35">
      <c r="A46" s="50" t="s">
        <v>58</v>
      </c>
      <c r="B46" s="51" t="s">
        <v>64</v>
      </c>
      <c r="C46" s="19" t="s">
        <v>65</v>
      </c>
      <c r="D46" s="19" t="s">
        <v>66</v>
      </c>
      <c r="E46" s="52"/>
      <c r="F46" s="22" t="s">
        <v>24</v>
      </c>
      <c r="G46" s="22">
        <v>2025</v>
      </c>
      <c r="H46" s="23">
        <f>'Spectrum Inputs'!E120</f>
        <v>552146</v>
      </c>
      <c r="I46" s="23">
        <f>'Spectrum Inputs'!D120</f>
        <v>572198.375</v>
      </c>
      <c r="J46" s="24">
        <f t="shared" si="23"/>
        <v>96.495555409432967</v>
      </c>
      <c r="K46" s="23">
        <f t="shared" si="24"/>
        <v>543588.45624999993</v>
      </c>
      <c r="L46" s="23">
        <f t="shared" si="25"/>
        <v>572198.375</v>
      </c>
      <c r="M46" s="24">
        <f>95</f>
        <v>95</v>
      </c>
      <c r="N46" s="55">
        <f t="shared" si="26"/>
        <v>-1.5498697355409681E-2</v>
      </c>
      <c r="O46" s="23">
        <f t="shared" si="27"/>
        <v>543588.45624999993</v>
      </c>
      <c r="P46" s="23">
        <f t="shared" si="28"/>
        <v>572198.375</v>
      </c>
      <c r="Q46" s="24">
        <f>95</f>
        <v>95</v>
      </c>
      <c r="R46" s="55">
        <f t="shared" si="29"/>
        <v>-1.5498697355409681E-2</v>
      </c>
      <c r="S46" s="23">
        <f t="shared" si="30"/>
        <v>543588.45624999993</v>
      </c>
      <c r="T46" s="23">
        <f t="shared" si="31"/>
        <v>572198.375</v>
      </c>
      <c r="U46" s="24">
        <f>95</f>
        <v>95</v>
      </c>
      <c r="V46" s="55">
        <f t="shared" si="32"/>
        <v>-1.5498697355409681E-2</v>
      </c>
      <c r="W46" s="23">
        <f t="shared" si="33"/>
        <v>543588.45624999993</v>
      </c>
      <c r="X46" s="23">
        <f t="shared" si="34"/>
        <v>572198.375</v>
      </c>
      <c r="Y46" s="24">
        <f>95</f>
        <v>95</v>
      </c>
      <c r="Z46" s="55">
        <f t="shared" si="35"/>
        <v>-1.5498697355409681E-2</v>
      </c>
      <c r="AA46" s="23">
        <f t="shared" si="36"/>
        <v>543588.45624999993</v>
      </c>
      <c r="AB46" s="23">
        <f t="shared" si="37"/>
        <v>572198.375</v>
      </c>
      <c r="AC46" s="24">
        <f>95</f>
        <v>95</v>
      </c>
      <c r="AD46" s="55">
        <f t="shared" si="38"/>
        <v>-1.5498697355409681E-2</v>
      </c>
      <c r="AE46" s="19" t="s">
        <v>68</v>
      </c>
      <c r="AF46" s="27"/>
    </row>
    <row r="47" spans="1:32" s="17" customFormat="1" ht="96.75" hidden="1" customHeight="1" x14ac:dyDescent="0.35">
      <c r="A47" s="50" t="s">
        <v>58</v>
      </c>
      <c r="B47" s="51" t="s">
        <v>64</v>
      </c>
      <c r="C47" s="19" t="s">
        <v>65</v>
      </c>
      <c r="D47" s="19" t="s">
        <v>66</v>
      </c>
      <c r="E47" s="52"/>
      <c r="F47" s="22" t="s">
        <v>25</v>
      </c>
      <c r="G47" s="22">
        <v>2025</v>
      </c>
      <c r="H47" s="23">
        <f>'Spectrum Inputs'!E119</f>
        <v>285349.5</v>
      </c>
      <c r="I47" s="23">
        <f>'Spectrum Inputs'!D119</f>
        <v>296544.96879999997</v>
      </c>
      <c r="J47" s="24">
        <f t="shared" si="23"/>
        <v>96.224697776764316</v>
      </c>
      <c r="K47" s="23">
        <f t="shared" si="24"/>
        <v>281717.72035999998</v>
      </c>
      <c r="L47" s="23">
        <f t="shared" si="25"/>
        <v>296544.96879999997</v>
      </c>
      <c r="M47" s="24">
        <f>95</f>
        <v>95</v>
      </c>
      <c r="N47" s="55">
        <f t="shared" si="26"/>
        <v>-1.272747854823658E-2</v>
      </c>
      <c r="O47" s="23">
        <f t="shared" si="27"/>
        <v>281717.72035999998</v>
      </c>
      <c r="P47" s="23">
        <f t="shared" si="28"/>
        <v>296544.96879999997</v>
      </c>
      <c r="Q47" s="24">
        <f>95</f>
        <v>95</v>
      </c>
      <c r="R47" s="55">
        <f t="shared" si="29"/>
        <v>-1.272747854823658E-2</v>
      </c>
      <c r="S47" s="23">
        <f t="shared" si="30"/>
        <v>281717.72035999998</v>
      </c>
      <c r="T47" s="23">
        <f t="shared" si="31"/>
        <v>296544.96879999997</v>
      </c>
      <c r="U47" s="24">
        <f>95</f>
        <v>95</v>
      </c>
      <c r="V47" s="55">
        <f t="shared" si="32"/>
        <v>-1.272747854823658E-2</v>
      </c>
      <c r="W47" s="23">
        <f t="shared" si="33"/>
        <v>281717.72035999998</v>
      </c>
      <c r="X47" s="23">
        <f t="shared" si="34"/>
        <v>296544.96879999997</v>
      </c>
      <c r="Y47" s="24">
        <f>95</f>
        <v>95</v>
      </c>
      <c r="Z47" s="55">
        <f t="shared" si="35"/>
        <v>-1.272747854823658E-2</v>
      </c>
      <c r="AA47" s="23">
        <f t="shared" si="36"/>
        <v>281717.72035999998</v>
      </c>
      <c r="AB47" s="23">
        <f t="shared" si="37"/>
        <v>296544.96879999997</v>
      </c>
      <c r="AC47" s="24">
        <f>95</f>
        <v>95</v>
      </c>
      <c r="AD47" s="55">
        <f t="shared" si="38"/>
        <v>-1.272747854823658E-2</v>
      </c>
      <c r="AE47" s="19" t="s">
        <v>68</v>
      </c>
      <c r="AF47" s="27"/>
    </row>
    <row r="48" spans="1:32" s="17" customFormat="1" ht="154.5" hidden="1" customHeight="1" x14ac:dyDescent="0.35">
      <c r="A48" s="46" t="s">
        <v>58</v>
      </c>
      <c r="B48" s="47" t="s">
        <v>70</v>
      </c>
      <c r="C48" s="30" t="s">
        <v>71</v>
      </c>
      <c r="D48" s="30" t="s">
        <v>72</v>
      </c>
      <c r="E48" s="48"/>
      <c r="F48" s="33" t="s">
        <v>73</v>
      </c>
      <c r="G48" s="33">
        <v>2024</v>
      </c>
      <c r="H48" s="34"/>
      <c r="I48" s="34"/>
      <c r="J48" s="38">
        <v>45</v>
      </c>
      <c r="K48" s="34"/>
      <c r="L48" s="34"/>
      <c r="M48" s="38">
        <v>52</v>
      </c>
      <c r="N48" s="54">
        <f t="shared" si="26"/>
        <v>0.15555555555555556</v>
      </c>
      <c r="O48" s="34"/>
      <c r="P48" s="34"/>
      <c r="Q48" s="38">
        <v>59</v>
      </c>
      <c r="R48" s="54">
        <f t="shared" si="29"/>
        <v>0.31111111111111112</v>
      </c>
      <c r="S48" s="34"/>
      <c r="T48" s="34"/>
      <c r="U48" s="38">
        <v>66</v>
      </c>
      <c r="V48" s="54">
        <f t="shared" si="32"/>
        <v>0.46666666666666667</v>
      </c>
      <c r="W48" s="34"/>
      <c r="X48" s="34"/>
      <c r="Y48" s="38">
        <v>73</v>
      </c>
      <c r="Z48" s="54">
        <f t="shared" si="35"/>
        <v>0.62222222222222223</v>
      </c>
      <c r="AA48" s="34"/>
      <c r="AB48" s="34"/>
      <c r="AC48" s="38">
        <v>80</v>
      </c>
      <c r="AD48" s="54">
        <f t="shared" si="38"/>
        <v>0.77777777777777779</v>
      </c>
      <c r="AE48" s="30" t="s">
        <v>74</v>
      </c>
      <c r="AF48" s="27"/>
    </row>
    <row r="49" spans="1:32" s="17" customFormat="1" ht="154.5" hidden="1" customHeight="1" x14ac:dyDescent="0.35">
      <c r="A49" s="46" t="s">
        <v>58</v>
      </c>
      <c r="B49" s="47" t="s">
        <v>70</v>
      </c>
      <c r="C49" s="30" t="s">
        <v>71</v>
      </c>
      <c r="D49" s="30" t="s">
        <v>72</v>
      </c>
      <c r="E49" s="48"/>
      <c r="F49" s="33" t="s">
        <v>75</v>
      </c>
      <c r="G49" s="33">
        <v>2024</v>
      </c>
      <c r="H49" s="34"/>
      <c r="I49" s="34"/>
      <c r="J49" s="38">
        <v>74</v>
      </c>
      <c r="K49" s="34"/>
      <c r="L49" s="34"/>
      <c r="M49" s="38">
        <v>75.2</v>
      </c>
      <c r="N49" s="54">
        <f t="shared" si="26"/>
        <v>1.6216216216216255E-2</v>
      </c>
      <c r="O49" s="34"/>
      <c r="P49" s="34"/>
      <c r="Q49" s="38">
        <v>76.400000000000006</v>
      </c>
      <c r="R49" s="54">
        <f t="shared" si="29"/>
        <v>3.2432432432432511E-2</v>
      </c>
      <c r="S49" s="34"/>
      <c r="T49" s="34"/>
      <c r="U49" s="38">
        <v>77.599999999999994</v>
      </c>
      <c r="V49" s="54">
        <f t="shared" si="32"/>
        <v>4.8648648648648575E-2</v>
      </c>
      <c r="W49" s="34"/>
      <c r="X49" s="34"/>
      <c r="Y49" s="38">
        <v>78.8</v>
      </c>
      <c r="Z49" s="54">
        <f t="shared" si="35"/>
        <v>6.4864864864864827E-2</v>
      </c>
      <c r="AA49" s="34"/>
      <c r="AB49" s="34"/>
      <c r="AC49" s="38">
        <v>80</v>
      </c>
      <c r="AD49" s="54">
        <f t="shared" si="38"/>
        <v>8.1081081081081086E-2</v>
      </c>
      <c r="AE49" s="30" t="s">
        <v>74</v>
      </c>
      <c r="AF49" s="27"/>
    </row>
    <row r="50" spans="1:32" s="17" customFormat="1" ht="154.5" hidden="1" customHeight="1" x14ac:dyDescent="0.35">
      <c r="A50" s="46" t="s">
        <v>58</v>
      </c>
      <c r="B50" s="47" t="s">
        <v>70</v>
      </c>
      <c r="C50" s="30" t="s">
        <v>71</v>
      </c>
      <c r="D50" s="30" t="s">
        <v>72</v>
      </c>
      <c r="E50" s="48" t="s">
        <v>76</v>
      </c>
      <c r="F50" s="33" t="s">
        <v>77</v>
      </c>
      <c r="G50" s="33">
        <v>2020</v>
      </c>
      <c r="H50" s="34"/>
      <c r="I50" s="34"/>
      <c r="J50" s="38">
        <v>49</v>
      </c>
      <c r="K50" s="34"/>
      <c r="L50" s="34"/>
      <c r="M50" s="38">
        <v>55.2</v>
      </c>
      <c r="N50" s="54">
        <f t="shared" si="26"/>
        <v>0.12653061224489801</v>
      </c>
      <c r="O50" s="34"/>
      <c r="P50" s="34"/>
      <c r="Q50" s="38">
        <v>61.4</v>
      </c>
      <c r="R50" s="54">
        <f t="shared" si="29"/>
        <v>0.2530612244897959</v>
      </c>
      <c r="S50" s="34"/>
      <c r="T50" s="34"/>
      <c r="U50" s="38">
        <v>67.599999999999994</v>
      </c>
      <c r="V50" s="54">
        <f t="shared" si="32"/>
        <v>0.37959183673469377</v>
      </c>
      <c r="W50" s="34"/>
      <c r="X50" s="34"/>
      <c r="Y50" s="38">
        <v>73.8</v>
      </c>
      <c r="Z50" s="54">
        <f t="shared" si="35"/>
        <v>0.5061224489795918</v>
      </c>
      <c r="AA50" s="34"/>
      <c r="AB50" s="34"/>
      <c r="AC50" s="38">
        <v>80</v>
      </c>
      <c r="AD50" s="54">
        <f t="shared" si="38"/>
        <v>0.63265306122448983</v>
      </c>
      <c r="AE50" s="30" t="s">
        <v>74</v>
      </c>
      <c r="AF50" s="27"/>
    </row>
    <row r="51" spans="1:32" s="17" customFormat="1" ht="154.5" hidden="1" customHeight="1" x14ac:dyDescent="0.35">
      <c r="A51" s="46" t="s">
        <v>58</v>
      </c>
      <c r="B51" s="47" t="s">
        <v>70</v>
      </c>
      <c r="C51" s="30" t="s">
        <v>71</v>
      </c>
      <c r="D51" s="30" t="s">
        <v>72</v>
      </c>
      <c r="E51" s="48" t="s">
        <v>78</v>
      </c>
      <c r="F51" s="33" t="s">
        <v>79</v>
      </c>
      <c r="G51" s="33">
        <v>2020</v>
      </c>
      <c r="H51" s="34"/>
      <c r="I51" s="34"/>
      <c r="J51" s="38">
        <v>64</v>
      </c>
      <c r="K51" s="34"/>
      <c r="L51" s="34"/>
      <c r="M51" s="38">
        <v>67.2</v>
      </c>
      <c r="N51" s="54">
        <f t="shared" si="26"/>
        <v>5.0000000000000044E-2</v>
      </c>
      <c r="O51" s="34"/>
      <c r="P51" s="34"/>
      <c r="Q51" s="38">
        <v>70.400000000000006</v>
      </c>
      <c r="R51" s="54">
        <f t="shared" si="29"/>
        <v>0.10000000000000009</v>
      </c>
      <c r="S51" s="34"/>
      <c r="T51" s="34"/>
      <c r="U51" s="38">
        <v>73.599999999999994</v>
      </c>
      <c r="V51" s="54">
        <f t="shared" si="32"/>
        <v>0.14999999999999991</v>
      </c>
      <c r="W51" s="34"/>
      <c r="X51" s="34"/>
      <c r="Y51" s="38">
        <v>76.8</v>
      </c>
      <c r="Z51" s="54">
        <f t="shared" si="35"/>
        <v>0.19999999999999996</v>
      </c>
      <c r="AA51" s="34"/>
      <c r="AB51" s="34"/>
      <c r="AC51" s="38">
        <v>80</v>
      </c>
      <c r="AD51" s="54">
        <f t="shared" si="38"/>
        <v>0.25</v>
      </c>
      <c r="AE51" s="30" t="s">
        <v>74</v>
      </c>
      <c r="AF51" s="27"/>
    </row>
    <row r="52" spans="1:32" s="17" customFormat="1" ht="154.5" hidden="1" customHeight="1" x14ac:dyDescent="0.35">
      <c r="A52" s="46" t="s">
        <v>58</v>
      </c>
      <c r="B52" s="47" t="s">
        <v>70</v>
      </c>
      <c r="C52" s="30" t="s">
        <v>71</v>
      </c>
      <c r="D52" s="30" t="s">
        <v>72</v>
      </c>
      <c r="E52" s="48" t="s">
        <v>80</v>
      </c>
      <c r="F52" s="33" t="s">
        <v>31</v>
      </c>
      <c r="G52" s="33">
        <v>2024</v>
      </c>
      <c r="H52" s="34"/>
      <c r="I52" s="34"/>
      <c r="J52" s="38">
        <v>51.3</v>
      </c>
      <c r="K52" s="34"/>
      <c r="L52" s="34"/>
      <c r="M52" s="38">
        <v>59</v>
      </c>
      <c r="N52" s="54">
        <f t="shared" si="26"/>
        <v>0.15009746588693965</v>
      </c>
      <c r="O52" s="34"/>
      <c r="P52" s="34"/>
      <c r="Q52" s="38">
        <v>66.8</v>
      </c>
      <c r="R52" s="54">
        <f t="shared" si="29"/>
        <v>0.3021442495126706</v>
      </c>
      <c r="S52" s="34"/>
      <c r="T52" s="34"/>
      <c r="U52" s="38">
        <v>74.5</v>
      </c>
      <c r="V52" s="54">
        <f t="shared" si="32"/>
        <v>0.45224171539961022</v>
      </c>
      <c r="W52" s="34"/>
      <c r="X52" s="34"/>
      <c r="Y52" s="38">
        <v>82.3</v>
      </c>
      <c r="Z52" s="54">
        <f t="shared" si="35"/>
        <v>0.60428849902534121</v>
      </c>
      <c r="AA52" s="34"/>
      <c r="AB52" s="34"/>
      <c r="AC52" s="38">
        <v>90</v>
      </c>
      <c r="AD52" s="54">
        <f t="shared" si="38"/>
        <v>0.75438596491228083</v>
      </c>
      <c r="AE52" s="30" t="s">
        <v>74</v>
      </c>
      <c r="AF52" s="27"/>
    </row>
    <row r="53" spans="1:32" s="17" customFormat="1" ht="154.5" hidden="1" customHeight="1" x14ac:dyDescent="0.35">
      <c r="A53" s="46" t="s">
        <v>58</v>
      </c>
      <c r="B53" s="47" t="s">
        <v>70</v>
      </c>
      <c r="C53" s="30" t="s">
        <v>71</v>
      </c>
      <c r="D53" s="30" t="s">
        <v>72</v>
      </c>
      <c r="E53" s="48" t="s">
        <v>81</v>
      </c>
      <c r="F53" s="33" t="s">
        <v>34</v>
      </c>
      <c r="G53" s="33">
        <v>2024</v>
      </c>
      <c r="H53" s="34"/>
      <c r="I53" s="34"/>
      <c r="J53" s="38">
        <v>73</v>
      </c>
      <c r="K53" s="34"/>
      <c r="L53" s="34"/>
      <c r="M53" s="38">
        <v>76.400000000000006</v>
      </c>
      <c r="N53" s="54">
        <f t="shared" si="26"/>
        <v>4.6575342465753504E-2</v>
      </c>
      <c r="O53" s="34"/>
      <c r="P53" s="34"/>
      <c r="Q53" s="38">
        <v>79.8</v>
      </c>
      <c r="R53" s="54">
        <f t="shared" si="29"/>
        <v>9.3150684931506814E-2</v>
      </c>
      <c r="S53" s="34"/>
      <c r="T53" s="34"/>
      <c r="U53" s="38">
        <v>83.2</v>
      </c>
      <c r="V53" s="54">
        <f t="shared" si="32"/>
        <v>0.13972602739726031</v>
      </c>
      <c r="W53" s="34"/>
      <c r="X53" s="34"/>
      <c r="Y53" s="38">
        <v>86.6</v>
      </c>
      <c r="Z53" s="54">
        <f t="shared" si="35"/>
        <v>0.18630136986301363</v>
      </c>
      <c r="AA53" s="34"/>
      <c r="AB53" s="34"/>
      <c r="AC53" s="38">
        <v>90</v>
      </c>
      <c r="AD53" s="54">
        <f t="shared" si="38"/>
        <v>0.23287671232876711</v>
      </c>
      <c r="AE53" s="30" t="s">
        <v>74</v>
      </c>
      <c r="AF53" s="27"/>
    </row>
    <row r="54" spans="1:32" s="17" customFormat="1" ht="154.5" hidden="1" customHeight="1" x14ac:dyDescent="0.35">
      <c r="A54" s="46" t="s">
        <v>58</v>
      </c>
      <c r="B54" s="47" t="s">
        <v>70</v>
      </c>
      <c r="C54" s="30" t="s">
        <v>71</v>
      </c>
      <c r="D54" s="30" t="s">
        <v>72</v>
      </c>
      <c r="E54" s="48"/>
      <c r="F54" s="33" t="s">
        <v>40</v>
      </c>
      <c r="G54" s="33">
        <v>2024</v>
      </c>
      <c r="H54" s="34"/>
      <c r="I54" s="34"/>
      <c r="J54" s="38">
        <v>63.1</v>
      </c>
      <c r="K54" s="34"/>
      <c r="L54" s="34"/>
      <c r="M54" s="38">
        <v>68.5</v>
      </c>
      <c r="N54" s="54">
        <f t="shared" si="26"/>
        <v>8.5578446909667177E-2</v>
      </c>
      <c r="O54" s="34"/>
      <c r="P54" s="34"/>
      <c r="Q54" s="38">
        <v>73.900000000000006</v>
      </c>
      <c r="R54" s="54">
        <f t="shared" si="29"/>
        <v>0.17115689381933447</v>
      </c>
      <c r="S54" s="34"/>
      <c r="T54" s="34"/>
      <c r="U54" s="38">
        <v>79.2</v>
      </c>
      <c r="V54" s="54">
        <f t="shared" si="32"/>
        <v>0.25515055467511888</v>
      </c>
      <c r="W54" s="34"/>
      <c r="X54" s="34"/>
      <c r="Y54" s="38">
        <v>84.6</v>
      </c>
      <c r="Z54" s="54">
        <f t="shared" si="35"/>
        <v>0.34072900158478592</v>
      </c>
      <c r="AA54" s="34"/>
      <c r="AB54" s="34"/>
      <c r="AC54" s="38">
        <v>90</v>
      </c>
      <c r="AD54" s="54">
        <f t="shared" si="38"/>
        <v>0.42630744849445323</v>
      </c>
      <c r="AE54" s="30" t="s">
        <v>74</v>
      </c>
      <c r="AF54" s="27"/>
    </row>
    <row r="55" spans="1:32" s="17" customFormat="1" ht="57.75" hidden="1" customHeight="1" x14ac:dyDescent="0.35">
      <c r="A55" s="50" t="s">
        <v>58</v>
      </c>
      <c r="B55" s="51" t="s">
        <v>82</v>
      </c>
      <c r="C55" s="19" t="s">
        <v>83</v>
      </c>
      <c r="D55" s="19" t="s">
        <v>84</v>
      </c>
      <c r="E55" s="52"/>
      <c r="F55" s="22" t="s">
        <v>77</v>
      </c>
      <c r="G55" s="22">
        <v>2024</v>
      </c>
      <c r="H55" s="23"/>
      <c r="I55" s="23"/>
      <c r="J55" s="24">
        <v>36</v>
      </c>
      <c r="K55" s="23"/>
      <c r="L55" s="23"/>
      <c r="M55" s="24">
        <v>42</v>
      </c>
      <c r="N55" s="55">
        <f t="shared" si="26"/>
        <v>0.16666666666666666</v>
      </c>
      <c r="O55" s="23"/>
      <c r="P55" s="23"/>
      <c r="Q55" s="24">
        <v>44</v>
      </c>
      <c r="R55" s="55">
        <f t="shared" si="29"/>
        <v>0.22222222222222221</v>
      </c>
      <c r="S55" s="23"/>
      <c r="T55" s="23"/>
      <c r="U55" s="24">
        <v>46</v>
      </c>
      <c r="V55" s="55">
        <f t="shared" si="32"/>
        <v>0.27777777777777779</v>
      </c>
      <c r="W55" s="23"/>
      <c r="X55" s="23"/>
      <c r="Y55" s="24">
        <v>48</v>
      </c>
      <c r="Z55" s="55">
        <f t="shared" si="35"/>
        <v>0.33333333333333331</v>
      </c>
      <c r="AA55" s="23"/>
      <c r="AB55" s="23"/>
      <c r="AC55" s="24">
        <v>50</v>
      </c>
      <c r="AD55" s="55">
        <f t="shared" si="38"/>
        <v>0.3888888888888889</v>
      </c>
      <c r="AE55" s="19" t="s">
        <v>85</v>
      </c>
      <c r="AF55" s="39"/>
    </row>
    <row r="56" spans="1:32" s="17" customFormat="1" ht="57.75" hidden="1" customHeight="1" x14ac:dyDescent="0.35">
      <c r="A56" s="50" t="s">
        <v>58</v>
      </c>
      <c r="B56" s="51" t="s">
        <v>82</v>
      </c>
      <c r="C56" s="19" t="s">
        <v>83</v>
      </c>
      <c r="D56" s="19" t="s">
        <v>84</v>
      </c>
      <c r="E56" s="52"/>
      <c r="F56" s="22" t="s">
        <v>79</v>
      </c>
      <c r="G56" s="22">
        <v>2024</v>
      </c>
      <c r="H56" s="23"/>
      <c r="I56" s="23"/>
      <c r="J56" s="24">
        <v>35</v>
      </c>
      <c r="K56" s="23"/>
      <c r="L56" s="23"/>
      <c r="M56" s="24">
        <v>41</v>
      </c>
      <c r="N56" s="55">
        <f t="shared" si="26"/>
        <v>0.17142857142857143</v>
      </c>
      <c r="O56" s="23"/>
      <c r="P56" s="23"/>
      <c r="Q56" s="24">
        <v>43</v>
      </c>
      <c r="R56" s="55">
        <f t="shared" si="29"/>
        <v>0.22857142857142856</v>
      </c>
      <c r="S56" s="23"/>
      <c r="T56" s="23"/>
      <c r="U56" s="24">
        <v>45</v>
      </c>
      <c r="V56" s="55">
        <f t="shared" si="32"/>
        <v>0.2857142857142857</v>
      </c>
      <c r="W56" s="23"/>
      <c r="X56" s="23"/>
      <c r="Y56" s="24">
        <v>47</v>
      </c>
      <c r="Z56" s="55">
        <f t="shared" si="35"/>
        <v>0.34285714285714286</v>
      </c>
      <c r="AA56" s="23"/>
      <c r="AB56" s="23"/>
      <c r="AC56" s="24">
        <v>49</v>
      </c>
      <c r="AD56" s="55">
        <f t="shared" si="38"/>
        <v>0.4</v>
      </c>
      <c r="AE56" s="19" t="s">
        <v>85</v>
      </c>
      <c r="AF56" s="27"/>
    </row>
    <row r="57" spans="1:32" s="17" customFormat="1" ht="96.75" hidden="1" customHeight="1" x14ac:dyDescent="0.3">
      <c r="A57" s="46" t="s">
        <v>58</v>
      </c>
      <c r="B57" s="47" t="s">
        <v>86</v>
      </c>
      <c r="C57" s="30" t="s">
        <v>87</v>
      </c>
      <c r="D57" s="30" t="s">
        <v>88</v>
      </c>
      <c r="E57" s="48"/>
      <c r="F57" s="33" t="s">
        <v>89</v>
      </c>
      <c r="G57" s="33">
        <v>2025</v>
      </c>
      <c r="H57" s="34">
        <v>27923</v>
      </c>
      <c r="I57" s="34">
        <v>42001</v>
      </c>
      <c r="J57" s="38">
        <f>IFERROR(H57/I57*100,"")</f>
        <v>66.481750434513458</v>
      </c>
      <c r="K57" s="34"/>
      <c r="L57" s="34"/>
      <c r="M57" s="38">
        <v>95</v>
      </c>
      <c r="N57" s="54">
        <f t="shared" si="26"/>
        <v>0.4289635784120619</v>
      </c>
      <c r="O57" s="34"/>
      <c r="P57" s="34"/>
      <c r="Q57" s="38">
        <v>95</v>
      </c>
      <c r="R57" s="54">
        <f t="shared" si="29"/>
        <v>0.4289635784120619</v>
      </c>
      <c r="S57" s="34"/>
      <c r="T57" s="34"/>
      <c r="U57" s="38">
        <v>95</v>
      </c>
      <c r="V57" s="54">
        <f t="shared" si="32"/>
        <v>0.4289635784120619</v>
      </c>
      <c r="W57" s="34"/>
      <c r="X57" s="34"/>
      <c r="Y57" s="38">
        <v>95</v>
      </c>
      <c r="Z57" s="54">
        <f t="shared" si="35"/>
        <v>0.4289635784120619</v>
      </c>
      <c r="AA57" s="34"/>
      <c r="AB57" s="34"/>
      <c r="AC57" s="38">
        <v>95</v>
      </c>
      <c r="AD57" s="54">
        <f t="shared" si="38"/>
        <v>0.4289635784120619</v>
      </c>
      <c r="AE57" s="30" t="s">
        <v>90</v>
      </c>
      <c r="AF57" s="40"/>
    </row>
    <row r="58" spans="1:32" s="17" customFormat="1" ht="77.25" hidden="1" customHeight="1" x14ac:dyDescent="0.35">
      <c r="A58" s="50" t="s">
        <v>91</v>
      </c>
      <c r="B58" s="51" t="s">
        <v>92</v>
      </c>
      <c r="C58" s="19" t="s">
        <v>93</v>
      </c>
      <c r="D58" s="19" t="s">
        <v>94</v>
      </c>
      <c r="E58" s="52"/>
      <c r="F58" s="22" t="s">
        <v>25</v>
      </c>
      <c r="G58" s="22">
        <v>2025</v>
      </c>
      <c r="H58" s="23">
        <f>'Spectrum Inputs'!B155</f>
        <v>60803885.5</v>
      </c>
      <c r="I58" s="23"/>
      <c r="J58" s="23"/>
      <c r="K58" s="23">
        <f>'Spectrum Inputs'!C155</f>
        <v>72929917.299999997</v>
      </c>
      <c r="L58" s="23"/>
      <c r="M58" s="23"/>
      <c r="N58" s="56" t="str">
        <f t="shared" ref="N58:N71" si="39">IFERROR((M58-J58)/J58,"")</f>
        <v/>
      </c>
      <c r="O58" s="23">
        <f>'Spectrum Inputs'!D155</f>
        <v>85055950.049999997</v>
      </c>
      <c r="P58" s="23"/>
      <c r="Q58" s="23"/>
      <c r="R58" s="56" t="str">
        <f t="shared" ref="R58:R71" si="40">IFERROR((Q58-J58)/J58,"")</f>
        <v/>
      </c>
      <c r="S58" s="23">
        <f>'Spectrum Inputs'!E155</f>
        <v>97181981.849999994</v>
      </c>
      <c r="T58" s="23"/>
      <c r="U58" s="23"/>
      <c r="V58" s="56" t="str">
        <f t="shared" ref="V58:V71" si="41">IFERROR((U58-J58)/J58,"")</f>
        <v/>
      </c>
      <c r="W58" s="23">
        <f>'Spectrum Inputs'!F155</f>
        <v>109308013.65000001</v>
      </c>
      <c r="X58" s="23"/>
      <c r="Y58" s="23"/>
      <c r="Z58" s="56" t="str">
        <f t="shared" ref="Z58:Z71" si="42">IFERROR((Y58-J58)/J58,"")</f>
        <v/>
      </c>
      <c r="AA58" s="23">
        <f>'Spectrum Inputs'!G155</f>
        <v>121434046.40000001</v>
      </c>
      <c r="AB58" s="23"/>
      <c r="AC58" s="23"/>
      <c r="AD58" s="55" t="str">
        <f t="shared" ref="AD58:AD71" si="43">IFERROR((AC58-J58)/J58,"")</f>
        <v/>
      </c>
      <c r="AE58" s="19" t="s">
        <v>95</v>
      </c>
      <c r="AF58" s="27"/>
    </row>
    <row r="59" spans="1:32" ht="77.25" hidden="1" customHeight="1" x14ac:dyDescent="0.3">
      <c r="A59" s="50" t="s">
        <v>91</v>
      </c>
      <c r="B59" s="51" t="s">
        <v>92</v>
      </c>
      <c r="C59" s="19" t="s">
        <v>93</v>
      </c>
      <c r="D59" s="19" t="s">
        <v>94</v>
      </c>
      <c r="E59" s="52"/>
      <c r="F59" s="22" t="s">
        <v>24</v>
      </c>
      <c r="G59" s="22">
        <v>2025</v>
      </c>
      <c r="H59" s="23">
        <f>'Spectrum Inputs'!B156</f>
        <v>3200204.5</v>
      </c>
      <c r="I59" s="23"/>
      <c r="J59" s="23"/>
      <c r="K59" s="23">
        <f>'Spectrum Inputs'!C156</f>
        <v>3838416.7</v>
      </c>
      <c r="L59" s="23"/>
      <c r="M59" s="23"/>
      <c r="N59" s="56" t="str">
        <f t="shared" si="39"/>
        <v/>
      </c>
      <c r="O59" s="23">
        <f>'Spectrum Inputs'!D156</f>
        <v>4476628.95</v>
      </c>
      <c r="P59" s="23"/>
      <c r="Q59" s="23"/>
      <c r="R59" s="56" t="str">
        <f t="shared" si="40"/>
        <v/>
      </c>
      <c r="S59" s="23">
        <f>'Spectrum Inputs'!E156</f>
        <v>5114841.1500000004</v>
      </c>
      <c r="T59" s="23"/>
      <c r="U59" s="23"/>
      <c r="V59" s="56" t="str">
        <f t="shared" si="41"/>
        <v/>
      </c>
      <c r="W59" s="23">
        <f>'Spectrum Inputs'!F156</f>
        <v>5753053.3499999996</v>
      </c>
      <c r="X59" s="23"/>
      <c r="Y59" s="23"/>
      <c r="Z59" s="56" t="str">
        <f t="shared" si="42"/>
        <v/>
      </c>
      <c r="AA59" s="23">
        <f>'Spectrum Inputs'!G156</f>
        <v>6391265.5999999996</v>
      </c>
      <c r="AB59" s="23"/>
      <c r="AC59" s="23"/>
      <c r="AD59" s="55" t="str">
        <f t="shared" si="43"/>
        <v/>
      </c>
      <c r="AE59" s="19" t="s">
        <v>96</v>
      </c>
      <c r="AF59" s="27"/>
    </row>
    <row r="60" spans="1:32" ht="135" hidden="1" customHeight="1" x14ac:dyDescent="0.3">
      <c r="A60" s="46" t="s">
        <v>91</v>
      </c>
      <c r="B60" s="47" t="s">
        <v>97</v>
      </c>
      <c r="C60" s="30" t="s">
        <v>98</v>
      </c>
      <c r="D60" s="30" t="s">
        <v>99</v>
      </c>
      <c r="E60" s="48"/>
      <c r="F60" s="33" t="s">
        <v>25</v>
      </c>
      <c r="G60" s="33">
        <v>2025</v>
      </c>
      <c r="H60" s="34">
        <v>46577</v>
      </c>
      <c r="I60" s="34"/>
      <c r="J60" s="34">
        <f>H60</f>
        <v>46577</v>
      </c>
      <c r="K60" s="34">
        <v>68742</v>
      </c>
      <c r="L60" s="34"/>
      <c r="M60" s="34">
        <f>K60</f>
        <v>68742</v>
      </c>
      <c r="N60" s="54">
        <f t="shared" si="39"/>
        <v>0.4758786525538356</v>
      </c>
      <c r="O60" s="34">
        <v>68742</v>
      </c>
      <c r="P60" s="34"/>
      <c r="Q60" s="34">
        <f>O60</f>
        <v>68742</v>
      </c>
      <c r="R60" s="54">
        <f t="shared" si="40"/>
        <v>0.4758786525538356</v>
      </c>
      <c r="S60" s="34">
        <v>68742</v>
      </c>
      <c r="T60" s="34"/>
      <c r="U60" s="34">
        <f>S60</f>
        <v>68742</v>
      </c>
      <c r="V60" s="54">
        <f t="shared" si="41"/>
        <v>0.4758786525538356</v>
      </c>
      <c r="W60" s="34">
        <v>68742</v>
      </c>
      <c r="X60" s="34"/>
      <c r="Y60" s="34">
        <f>W60</f>
        <v>68742</v>
      </c>
      <c r="Z60" s="54">
        <f t="shared" si="42"/>
        <v>0.4758786525538356</v>
      </c>
      <c r="AA60" s="34">
        <v>68742</v>
      </c>
      <c r="AB60" s="34"/>
      <c r="AC60" s="34">
        <f>AA60</f>
        <v>68742</v>
      </c>
      <c r="AD60" s="54">
        <f t="shared" si="43"/>
        <v>0.4758786525538356</v>
      </c>
      <c r="AE60" s="30" t="s">
        <v>100</v>
      </c>
      <c r="AF60" s="27"/>
    </row>
    <row r="61" spans="1:32" ht="57.75" hidden="1" customHeight="1" x14ac:dyDescent="0.3">
      <c r="A61" s="50" t="s">
        <v>91</v>
      </c>
      <c r="B61" s="51" t="s">
        <v>101</v>
      </c>
      <c r="C61" s="19" t="s">
        <v>102</v>
      </c>
      <c r="D61" s="19" t="s">
        <v>103</v>
      </c>
      <c r="E61" s="52" t="s">
        <v>104</v>
      </c>
      <c r="F61" s="22" t="s">
        <v>19</v>
      </c>
      <c r="G61" s="22">
        <v>2025</v>
      </c>
      <c r="H61" s="23">
        <f>'Spectrum Inputs'!B143</f>
        <v>33519</v>
      </c>
      <c r="I61" s="23"/>
      <c r="J61" s="23"/>
      <c r="K61" s="23">
        <f>'Spectrum Inputs'!C143</f>
        <v>45752</v>
      </c>
      <c r="L61" s="23"/>
      <c r="M61" s="23"/>
      <c r="N61" s="55" t="str">
        <f t="shared" si="39"/>
        <v/>
      </c>
      <c r="O61" s="23">
        <f>'Spectrum Inputs'!D143</f>
        <v>57985</v>
      </c>
      <c r="P61" s="23"/>
      <c r="Q61" s="23"/>
      <c r="R61" s="55" t="str">
        <f t="shared" si="40"/>
        <v/>
      </c>
      <c r="S61" s="23">
        <f>'Spectrum Inputs'!E143</f>
        <v>70218</v>
      </c>
      <c r="T61" s="23"/>
      <c r="U61" s="23"/>
      <c r="V61" s="55" t="str">
        <f t="shared" si="41"/>
        <v/>
      </c>
      <c r="W61" s="23">
        <f>'Spectrum Inputs'!F143</f>
        <v>77972</v>
      </c>
      <c r="X61" s="23"/>
      <c r="Y61" s="23"/>
      <c r="Z61" s="55" t="str">
        <f t="shared" si="42"/>
        <v/>
      </c>
      <c r="AA61" s="23">
        <f>'Spectrum Inputs'!G143</f>
        <v>84000</v>
      </c>
      <c r="AB61" s="23"/>
      <c r="AC61" s="23"/>
      <c r="AD61" s="55" t="str">
        <f t="shared" si="43"/>
        <v/>
      </c>
      <c r="AE61" s="19" t="s">
        <v>105</v>
      </c>
      <c r="AF61" s="27"/>
    </row>
    <row r="62" spans="1:32" ht="57.75" hidden="1" customHeight="1" x14ac:dyDescent="0.3">
      <c r="A62" s="50" t="s">
        <v>91</v>
      </c>
      <c r="B62" s="51" t="s">
        <v>101</v>
      </c>
      <c r="C62" s="19" t="s">
        <v>102</v>
      </c>
      <c r="D62" s="19" t="s">
        <v>103</v>
      </c>
      <c r="E62" s="52" t="s">
        <v>106</v>
      </c>
      <c r="F62" s="22" t="s">
        <v>107</v>
      </c>
      <c r="G62" s="22">
        <v>2025</v>
      </c>
      <c r="H62" s="23">
        <f>'Spectrum Inputs'!B135</f>
        <v>10056</v>
      </c>
      <c r="I62" s="23"/>
      <c r="J62" s="23"/>
      <c r="K62" s="23">
        <f>'Spectrum Inputs'!C135</f>
        <v>10575</v>
      </c>
      <c r="L62" s="23"/>
      <c r="M62" s="23"/>
      <c r="N62" s="55" t="str">
        <f t="shared" si="39"/>
        <v/>
      </c>
      <c r="O62" s="23">
        <f>'Spectrum Inputs'!D135</f>
        <v>11095</v>
      </c>
      <c r="P62" s="23"/>
      <c r="Q62" s="23"/>
      <c r="R62" s="55" t="str">
        <f t="shared" si="40"/>
        <v/>
      </c>
      <c r="S62" s="23">
        <f>'Spectrum Inputs'!E135</f>
        <v>11614</v>
      </c>
      <c r="T62" s="23"/>
      <c r="U62" s="23"/>
      <c r="V62" s="55" t="str">
        <f t="shared" si="41"/>
        <v/>
      </c>
      <c r="W62" s="23">
        <f>'Spectrum Inputs'!F135</f>
        <v>12134</v>
      </c>
      <c r="X62" s="23"/>
      <c r="Y62" s="23"/>
      <c r="Z62" s="55" t="str">
        <f t="shared" si="42"/>
        <v/>
      </c>
      <c r="AA62" s="23">
        <f>'Spectrum Inputs'!G135</f>
        <v>12653</v>
      </c>
      <c r="AB62" s="23"/>
      <c r="AC62" s="23"/>
      <c r="AD62" s="55" t="str">
        <f t="shared" si="43"/>
        <v/>
      </c>
      <c r="AE62" s="19" t="s">
        <v>105</v>
      </c>
      <c r="AF62" s="27"/>
    </row>
    <row r="63" spans="1:32" ht="57.75" hidden="1" customHeight="1" x14ac:dyDescent="0.3">
      <c r="A63" s="50" t="s">
        <v>91</v>
      </c>
      <c r="B63" s="51" t="s">
        <v>101</v>
      </c>
      <c r="C63" s="19" t="s">
        <v>102</v>
      </c>
      <c r="D63" s="19" t="s">
        <v>103</v>
      </c>
      <c r="E63" s="52" t="s">
        <v>108</v>
      </c>
      <c r="F63" s="22" t="s">
        <v>34</v>
      </c>
      <c r="G63" s="22">
        <v>2025</v>
      </c>
      <c r="H63" s="23">
        <f>'Spectrum Inputs'!B136</f>
        <v>2682</v>
      </c>
      <c r="I63" s="23"/>
      <c r="J63" s="23"/>
      <c r="K63" s="23">
        <f>'Spectrum Inputs'!C136</f>
        <v>5893</v>
      </c>
      <c r="L63" s="23"/>
      <c r="M63" s="23"/>
      <c r="N63" s="55" t="str">
        <f t="shared" si="39"/>
        <v/>
      </c>
      <c r="O63" s="23">
        <f>'Spectrum Inputs'!D136</f>
        <v>9105</v>
      </c>
      <c r="P63" s="23"/>
      <c r="Q63" s="23"/>
      <c r="R63" s="55" t="str">
        <f t="shared" si="40"/>
        <v/>
      </c>
      <c r="S63" s="23">
        <f>'Spectrum Inputs'!E136</f>
        <v>12316</v>
      </c>
      <c r="T63" s="23"/>
      <c r="U63" s="23"/>
      <c r="V63" s="55" t="str">
        <f t="shared" si="41"/>
        <v/>
      </c>
      <c r="W63" s="23">
        <f>'Spectrum Inputs'!F136</f>
        <v>12316</v>
      </c>
      <c r="X63" s="23"/>
      <c r="Y63" s="23"/>
      <c r="Z63" s="55" t="str">
        <f t="shared" si="42"/>
        <v/>
      </c>
      <c r="AA63" s="23">
        <f>'Spectrum Inputs'!G136</f>
        <v>12316</v>
      </c>
      <c r="AB63" s="23"/>
      <c r="AC63" s="23"/>
      <c r="AD63" s="55" t="str">
        <f t="shared" si="43"/>
        <v/>
      </c>
      <c r="AE63" s="19" t="s">
        <v>105</v>
      </c>
      <c r="AF63" s="27"/>
    </row>
    <row r="64" spans="1:32" ht="57.75" hidden="1" customHeight="1" x14ac:dyDescent="0.3">
      <c r="A64" s="50" t="s">
        <v>91</v>
      </c>
      <c r="B64" s="51" t="s">
        <v>101</v>
      </c>
      <c r="C64" s="19" t="s">
        <v>102</v>
      </c>
      <c r="D64" s="19" t="s">
        <v>103</v>
      </c>
      <c r="E64" s="52" t="s">
        <v>109</v>
      </c>
      <c r="F64" s="22" t="s">
        <v>31</v>
      </c>
      <c r="G64" s="22">
        <v>2025</v>
      </c>
      <c r="H64" s="23">
        <f>'Spectrum Inputs'!B137</f>
        <v>5028</v>
      </c>
      <c r="I64" s="23"/>
      <c r="J64" s="23"/>
      <c r="K64" s="23">
        <f>'Spectrum Inputs'!C137</f>
        <v>6295</v>
      </c>
      <c r="L64" s="23"/>
      <c r="M64" s="23"/>
      <c r="N64" s="55" t="str">
        <f t="shared" si="39"/>
        <v/>
      </c>
      <c r="O64" s="23">
        <f>'Spectrum Inputs'!D137</f>
        <v>7563</v>
      </c>
      <c r="P64" s="23"/>
      <c r="Q64" s="23"/>
      <c r="R64" s="55" t="str">
        <f t="shared" si="40"/>
        <v/>
      </c>
      <c r="S64" s="23">
        <f>'Spectrum Inputs'!E137</f>
        <v>8831</v>
      </c>
      <c r="T64" s="23"/>
      <c r="U64" s="23"/>
      <c r="V64" s="55" t="str">
        <f t="shared" si="41"/>
        <v/>
      </c>
      <c r="W64" s="23">
        <f>'Spectrum Inputs'!F137</f>
        <v>8831</v>
      </c>
      <c r="X64" s="23"/>
      <c r="Y64" s="23"/>
      <c r="Z64" s="55" t="str">
        <f t="shared" si="42"/>
        <v/>
      </c>
      <c r="AA64" s="23">
        <f>'Spectrum Inputs'!G137</f>
        <v>8831</v>
      </c>
      <c r="AB64" s="23"/>
      <c r="AC64" s="23"/>
      <c r="AD64" s="55" t="str">
        <f t="shared" si="43"/>
        <v/>
      </c>
      <c r="AE64" s="19" t="s">
        <v>105</v>
      </c>
      <c r="AF64" s="27"/>
    </row>
    <row r="65" spans="1:32" ht="57.75" hidden="1" customHeight="1" x14ac:dyDescent="0.3">
      <c r="A65" s="50" t="s">
        <v>91</v>
      </c>
      <c r="B65" s="51" t="s">
        <v>101</v>
      </c>
      <c r="C65" s="19" t="s">
        <v>102</v>
      </c>
      <c r="D65" s="19" t="s">
        <v>103</v>
      </c>
      <c r="E65" s="52" t="s">
        <v>110</v>
      </c>
      <c r="F65" s="22" t="s">
        <v>40</v>
      </c>
      <c r="G65" s="22">
        <v>2025</v>
      </c>
      <c r="H65" s="23">
        <f>'Spectrum Inputs'!B138</f>
        <v>1006</v>
      </c>
      <c r="I65" s="23"/>
      <c r="J65" s="23"/>
      <c r="K65" s="23">
        <f>'Spectrum Inputs'!C138</f>
        <v>1976</v>
      </c>
      <c r="L65" s="23"/>
      <c r="M65" s="23"/>
      <c r="N65" s="55" t="str">
        <f t="shared" si="39"/>
        <v/>
      </c>
      <c r="O65" s="23">
        <f>'Spectrum Inputs'!D138</f>
        <v>2947</v>
      </c>
      <c r="P65" s="23"/>
      <c r="Q65" s="23"/>
      <c r="R65" s="55" t="str">
        <f t="shared" si="40"/>
        <v/>
      </c>
      <c r="S65" s="23">
        <f>'Spectrum Inputs'!E138</f>
        <v>3917</v>
      </c>
      <c r="T65" s="23"/>
      <c r="U65" s="23"/>
      <c r="V65" s="55" t="str">
        <f t="shared" si="41"/>
        <v/>
      </c>
      <c r="W65" s="23">
        <f>'Spectrum Inputs'!F138</f>
        <v>4887</v>
      </c>
      <c r="X65" s="23"/>
      <c r="Y65" s="23"/>
      <c r="Z65" s="55" t="str">
        <f t="shared" si="42"/>
        <v/>
      </c>
      <c r="AA65" s="23">
        <f>'Spectrum Inputs'!G138</f>
        <v>4887</v>
      </c>
      <c r="AB65" s="23"/>
      <c r="AC65" s="23"/>
      <c r="AD65" s="55" t="str">
        <f t="shared" si="43"/>
        <v/>
      </c>
      <c r="AE65" s="19" t="s">
        <v>105</v>
      </c>
      <c r="AF65" s="27"/>
    </row>
    <row r="66" spans="1:32" ht="57.75" hidden="1" customHeight="1" x14ac:dyDescent="0.3">
      <c r="A66" s="50" t="s">
        <v>91</v>
      </c>
      <c r="B66" s="51" t="s">
        <v>101</v>
      </c>
      <c r="C66" s="19" t="s">
        <v>102</v>
      </c>
      <c r="D66" s="19" t="s">
        <v>103</v>
      </c>
      <c r="E66" s="52"/>
      <c r="F66" s="22" t="s">
        <v>111</v>
      </c>
      <c r="G66" s="22">
        <v>2025</v>
      </c>
      <c r="H66" s="23">
        <f>'Spectrum Inputs'!B139</f>
        <v>6704</v>
      </c>
      <c r="I66" s="23"/>
      <c r="J66" s="23"/>
      <c r="K66" s="23">
        <f>'Spectrum Inputs'!C139</f>
        <v>7621</v>
      </c>
      <c r="L66" s="23"/>
      <c r="M66" s="23"/>
      <c r="N66" s="55" t="str">
        <f t="shared" si="39"/>
        <v/>
      </c>
      <c r="O66" s="23">
        <f>'Spectrum Inputs'!D139</f>
        <v>8539</v>
      </c>
      <c r="P66" s="23"/>
      <c r="Q66" s="23"/>
      <c r="R66" s="55" t="str">
        <f t="shared" si="40"/>
        <v/>
      </c>
      <c r="S66" s="23">
        <f>'Spectrum Inputs'!E139</f>
        <v>9456</v>
      </c>
      <c r="T66" s="23"/>
      <c r="U66" s="23"/>
      <c r="V66" s="55" t="str">
        <f t="shared" si="41"/>
        <v/>
      </c>
      <c r="W66" s="23">
        <f>'Spectrum Inputs'!F139</f>
        <v>10374</v>
      </c>
      <c r="X66" s="23"/>
      <c r="Y66" s="23"/>
      <c r="Z66" s="55" t="str">
        <f t="shared" si="42"/>
        <v/>
      </c>
      <c r="AA66" s="23">
        <f>'Spectrum Inputs'!G139</f>
        <v>11291</v>
      </c>
      <c r="AB66" s="23"/>
      <c r="AC66" s="23"/>
      <c r="AD66" s="55" t="str">
        <f t="shared" si="43"/>
        <v/>
      </c>
      <c r="AE66" s="19" t="s">
        <v>105</v>
      </c>
      <c r="AF66" s="27"/>
    </row>
    <row r="67" spans="1:32" ht="57.75" hidden="1" customHeight="1" x14ac:dyDescent="0.3">
      <c r="A67" s="50" t="s">
        <v>91</v>
      </c>
      <c r="B67" s="51" t="s">
        <v>101</v>
      </c>
      <c r="C67" s="19" t="s">
        <v>102</v>
      </c>
      <c r="D67" s="19" t="s">
        <v>103</v>
      </c>
      <c r="E67" s="52" t="s">
        <v>112</v>
      </c>
      <c r="F67" s="22" t="s">
        <v>37</v>
      </c>
      <c r="G67" s="22">
        <v>2025</v>
      </c>
      <c r="H67" s="23">
        <f>'Spectrum Inputs'!B140</f>
        <v>335</v>
      </c>
      <c r="I67" s="23"/>
      <c r="J67" s="23"/>
      <c r="K67" s="23">
        <f>'Spectrum Inputs'!C140</f>
        <v>1090</v>
      </c>
      <c r="L67" s="23"/>
      <c r="M67" s="23"/>
      <c r="N67" s="55" t="str">
        <f t="shared" si="39"/>
        <v/>
      </c>
      <c r="O67" s="23">
        <f>'Spectrum Inputs'!D140</f>
        <v>1845</v>
      </c>
      <c r="P67" s="23"/>
      <c r="Q67" s="23"/>
      <c r="R67" s="55" t="str">
        <f t="shared" si="40"/>
        <v/>
      </c>
      <c r="S67" s="23">
        <f>'Spectrum Inputs'!E140</f>
        <v>2600</v>
      </c>
      <c r="T67" s="23"/>
      <c r="U67" s="23"/>
      <c r="V67" s="55" t="str">
        <f t="shared" si="41"/>
        <v/>
      </c>
      <c r="W67" s="23">
        <f>'Spectrum Inputs'!F140</f>
        <v>3355</v>
      </c>
      <c r="X67" s="23"/>
      <c r="Y67" s="23"/>
      <c r="Z67" s="55" t="str">
        <f t="shared" si="42"/>
        <v/>
      </c>
      <c r="AA67" s="23">
        <f>'Spectrum Inputs'!G140</f>
        <v>3355</v>
      </c>
      <c r="AB67" s="23"/>
      <c r="AC67" s="23"/>
      <c r="AD67" s="55" t="str">
        <f t="shared" si="43"/>
        <v/>
      </c>
      <c r="AE67" s="19" t="s">
        <v>105</v>
      </c>
      <c r="AF67" s="27"/>
    </row>
    <row r="68" spans="1:32" ht="57.75" hidden="1" customHeight="1" x14ac:dyDescent="0.3">
      <c r="A68" s="50" t="s">
        <v>91</v>
      </c>
      <c r="B68" s="51" t="s">
        <v>101</v>
      </c>
      <c r="C68" s="19" t="s">
        <v>102</v>
      </c>
      <c r="D68" s="19" t="s">
        <v>103</v>
      </c>
      <c r="E68" s="52"/>
      <c r="F68" s="22" t="s">
        <v>113</v>
      </c>
      <c r="G68" s="22">
        <v>2025</v>
      </c>
      <c r="H68" s="23">
        <f>'Spectrum Inputs'!B141</f>
        <v>3687</v>
      </c>
      <c r="I68" s="23"/>
      <c r="J68" s="23"/>
      <c r="K68" s="23">
        <f>'Spectrum Inputs'!C141</f>
        <v>3878</v>
      </c>
      <c r="L68" s="23"/>
      <c r="M68" s="23"/>
      <c r="N68" s="55" t="str">
        <f t="shared" si="39"/>
        <v/>
      </c>
      <c r="O68" s="23">
        <f>'Spectrum Inputs'!D141</f>
        <v>4068</v>
      </c>
      <c r="P68" s="23"/>
      <c r="Q68" s="23"/>
      <c r="R68" s="55" t="str">
        <f t="shared" si="40"/>
        <v/>
      </c>
      <c r="S68" s="23">
        <f>'Spectrum Inputs'!E141</f>
        <v>4259</v>
      </c>
      <c r="T68" s="23"/>
      <c r="U68" s="23"/>
      <c r="V68" s="55" t="str">
        <f t="shared" si="41"/>
        <v/>
      </c>
      <c r="W68" s="23">
        <f>'Spectrum Inputs'!F141</f>
        <v>4449</v>
      </c>
      <c r="X68" s="23"/>
      <c r="Y68" s="23"/>
      <c r="Z68" s="55" t="str">
        <f t="shared" si="42"/>
        <v/>
      </c>
      <c r="AA68" s="23">
        <f>'Spectrum Inputs'!G141</f>
        <v>4640</v>
      </c>
      <c r="AB68" s="23"/>
      <c r="AC68" s="23"/>
      <c r="AD68" s="55" t="str">
        <f t="shared" si="43"/>
        <v/>
      </c>
      <c r="AE68" s="19" t="s">
        <v>105</v>
      </c>
      <c r="AF68" s="27"/>
    </row>
    <row r="69" spans="1:32" ht="57.75" hidden="1" customHeight="1" x14ac:dyDescent="0.3">
      <c r="A69" s="50" t="s">
        <v>91</v>
      </c>
      <c r="B69" s="51" t="s">
        <v>101</v>
      </c>
      <c r="C69" s="19" t="s">
        <v>102</v>
      </c>
      <c r="D69" s="19" t="s">
        <v>103</v>
      </c>
      <c r="E69" s="52"/>
      <c r="F69" s="22" t="s">
        <v>114</v>
      </c>
      <c r="G69" s="22">
        <v>2025</v>
      </c>
      <c r="H69" s="23">
        <f>'Spectrum Inputs'!B142</f>
        <v>4022</v>
      </c>
      <c r="I69" s="23"/>
      <c r="J69" s="23"/>
      <c r="K69" s="23">
        <f>'Spectrum Inputs'!C142</f>
        <v>8423</v>
      </c>
      <c r="L69" s="23"/>
      <c r="M69" s="23"/>
      <c r="N69" s="55" t="str">
        <f t="shared" si="39"/>
        <v/>
      </c>
      <c r="O69" s="23">
        <f>'Spectrum Inputs'!D142</f>
        <v>12824</v>
      </c>
      <c r="P69" s="23"/>
      <c r="Q69" s="23"/>
      <c r="R69" s="55" t="str">
        <f t="shared" si="40"/>
        <v/>
      </c>
      <c r="S69" s="23">
        <f>'Spectrum Inputs'!E142</f>
        <v>17225</v>
      </c>
      <c r="T69" s="23"/>
      <c r="U69" s="23"/>
      <c r="V69" s="55" t="str">
        <f t="shared" si="41"/>
        <v/>
      </c>
      <c r="W69" s="23">
        <f>'Spectrum Inputs'!F142</f>
        <v>21626</v>
      </c>
      <c r="X69" s="23"/>
      <c r="Y69" s="23"/>
      <c r="Z69" s="55" t="str">
        <f t="shared" si="42"/>
        <v/>
      </c>
      <c r="AA69" s="23">
        <f>'Spectrum Inputs'!G142</f>
        <v>26027</v>
      </c>
      <c r="AB69" s="23"/>
      <c r="AC69" s="23"/>
      <c r="AD69" s="55" t="str">
        <f t="shared" si="43"/>
        <v/>
      </c>
      <c r="AE69" s="19" t="s">
        <v>105</v>
      </c>
      <c r="AF69" s="27"/>
    </row>
    <row r="70" spans="1:32" ht="96.75" hidden="1" customHeight="1" x14ac:dyDescent="0.3">
      <c r="A70" s="50" t="s">
        <v>91</v>
      </c>
      <c r="B70" s="51" t="s">
        <v>115</v>
      </c>
      <c r="C70" s="19" t="s">
        <v>116</v>
      </c>
      <c r="D70" s="19" t="s">
        <v>117</v>
      </c>
      <c r="E70" s="52"/>
      <c r="F70" s="22" t="s">
        <v>19</v>
      </c>
      <c r="G70" s="22">
        <v>2025</v>
      </c>
      <c r="H70" s="23"/>
      <c r="I70" s="23"/>
      <c r="J70" s="24">
        <v>99</v>
      </c>
      <c r="K70" s="23"/>
      <c r="L70" s="23"/>
      <c r="M70" s="24">
        <v>99</v>
      </c>
      <c r="N70" s="55">
        <f t="shared" si="39"/>
        <v>0</v>
      </c>
      <c r="O70" s="23"/>
      <c r="P70" s="23"/>
      <c r="Q70" s="24">
        <v>99</v>
      </c>
      <c r="R70" s="55">
        <f t="shared" si="40"/>
        <v>0</v>
      </c>
      <c r="S70" s="23"/>
      <c r="T70" s="23"/>
      <c r="U70" s="24">
        <v>99</v>
      </c>
      <c r="V70" s="55">
        <f t="shared" si="41"/>
        <v>0</v>
      </c>
      <c r="W70" s="23"/>
      <c r="X70" s="23"/>
      <c r="Y70" s="24">
        <v>99</v>
      </c>
      <c r="Z70" s="55">
        <f t="shared" si="42"/>
        <v>0</v>
      </c>
      <c r="AA70" s="23"/>
      <c r="AB70" s="23"/>
      <c r="AC70" s="24">
        <v>99</v>
      </c>
      <c r="AD70" s="55">
        <f t="shared" si="43"/>
        <v>0</v>
      </c>
      <c r="AE70" s="19" t="s">
        <v>118</v>
      </c>
      <c r="AF70" s="27"/>
    </row>
    <row r="71" spans="1:32" ht="77.25" hidden="1" customHeight="1" x14ac:dyDescent="0.3">
      <c r="A71" s="46" t="s">
        <v>91</v>
      </c>
      <c r="B71" s="47" t="s">
        <v>119</v>
      </c>
      <c r="C71" s="30" t="s">
        <v>120</v>
      </c>
      <c r="D71" s="30" t="s">
        <v>121</v>
      </c>
      <c r="E71" s="48"/>
      <c r="F71" s="33" t="s">
        <v>56</v>
      </c>
      <c r="G71" s="33">
        <v>2022</v>
      </c>
      <c r="H71" s="34"/>
      <c r="I71" s="34"/>
      <c r="J71" s="38">
        <v>22</v>
      </c>
      <c r="K71" s="34"/>
      <c r="L71" s="34"/>
      <c r="M71" s="38">
        <v>26</v>
      </c>
      <c r="N71" s="54">
        <f t="shared" si="39"/>
        <v>0.18181818181818182</v>
      </c>
      <c r="O71" s="34"/>
      <c r="P71" s="34"/>
      <c r="Q71" s="38">
        <v>27</v>
      </c>
      <c r="R71" s="54">
        <f t="shared" si="40"/>
        <v>0.22727272727272727</v>
      </c>
      <c r="S71" s="34"/>
      <c r="T71" s="34"/>
      <c r="U71" s="38">
        <v>28</v>
      </c>
      <c r="V71" s="54">
        <f t="shared" si="41"/>
        <v>0.27272727272727271</v>
      </c>
      <c r="W71" s="34"/>
      <c r="X71" s="34"/>
      <c r="Y71" s="38">
        <v>29</v>
      </c>
      <c r="Z71" s="54">
        <f t="shared" si="42"/>
        <v>0.31818181818181818</v>
      </c>
      <c r="AA71" s="34"/>
      <c r="AB71" s="34"/>
      <c r="AC71" s="38">
        <v>30</v>
      </c>
      <c r="AD71" s="54">
        <f t="shared" si="43"/>
        <v>0.36363636363636365</v>
      </c>
      <c r="AE71" s="30" t="s">
        <v>122</v>
      </c>
      <c r="AF71" s="27"/>
    </row>
    <row r="72" spans="1:32" ht="96.75" customHeight="1" x14ac:dyDescent="0.3">
      <c r="A72" s="50" t="s">
        <v>123</v>
      </c>
      <c r="B72" s="51" t="s">
        <v>124</v>
      </c>
      <c r="C72" s="19" t="s">
        <v>125</v>
      </c>
      <c r="D72" s="19" t="s">
        <v>126</v>
      </c>
      <c r="E72" s="52" t="s">
        <v>127</v>
      </c>
      <c r="F72" s="22" t="s">
        <v>19</v>
      </c>
      <c r="G72" s="22">
        <v>2025</v>
      </c>
      <c r="H72" s="23">
        <f>'Spectrum Inputs'!B33</f>
        <v>896939</v>
      </c>
      <c r="I72" s="23">
        <f>'Spectrum Inputs'!B19</f>
        <v>1006960</v>
      </c>
      <c r="J72" s="24">
        <f t="shared" ref="J72:J78" si="44">IFERROR(H72/I72*100,"")</f>
        <v>89.073945340430612</v>
      </c>
      <c r="K72" s="23">
        <f>'Spectrum Inputs'!C33</f>
        <v>906216</v>
      </c>
      <c r="L72" s="23">
        <f>'Spectrum Inputs'!C19</f>
        <v>1000821</v>
      </c>
      <c r="M72" s="24">
        <f>IFERROR(K72/L72*100,"")</f>
        <v>90.547260698966141</v>
      </c>
      <c r="N72" s="55">
        <f t="shared" ref="N72:N78" si="45">IFERROR((M72-J72)/J72,"")</f>
        <v>1.6540362649309893E-2</v>
      </c>
      <c r="O72" s="23">
        <f>'Spectrum Inputs'!D33</f>
        <v>906955</v>
      </c>
      <c r="P72" s="23">
        <f>'Spectrum Inputs'!D19</f>
        <v>994527</v>
      </c>
      <c r="Q72" s="24">
        <f>IFERROR(O72/P72*100,"")</f>
        <v>91.194608090076983</v>
      </c>
      <c r="R72" s="55">
        <f t="shared" ref="R72:R78" si="46">IFERROR((Q72-J72)/J72,"")</f>
        <v>2.3807890641213164E-2</v>
      </c>
      <c r="S72" s="23">
        <f>'Spectrum Inputs'!E33</f>
        <v>907010</v>
      </c>
      <c r="T72" s="23">
        <f>'Spectrum Inputs'!E19</f>
        <v>988232</v>
      </c>
      <c r="U72" s="24">
        <f>IFERROR(S72/T72*100,"")</f>
        <v>91.7810797464563</v>
      </c>
      <c r="V72" s="55">
        <f t="shared" ref="V72:V78" si="47">IFERROR((U72-J72)/J72,"")</f>
        <v>3.0391989438430331E-2</v>
      </c>
      <c r="W72" s="23">
        <f>'Spectrum Inputs'!F33</f>
        <v>907654</v>
      </c>
      <c r="X72" s="23">
        <f>'Spectrum Inputs'!F19</f>
        <v>982367</v>
      </c>
      <c r="Y72" s="24">
        <f>IFERROR(W72/X72*100,"")</f>
        <v>92.394593873776302</v>
      </c>
      <c r="Z72" s="55">
        <f t="shared" ref="Z72:Z78" si="48">IFERROR((Y72-J72)/J72,"")</f>
        <v>3.7279683982274998E-2</v>
      </c>
      <c r="AA72" s="23">
        <f>'Spectrum Inputs'!G33</f>
        <v>908381</v>
      </c>
      <c r="AB72" s="23">
        <f>'Spectrum Inputs'!G19</f>
        <v>976493</v>
      </c>
      <c r="AC72" s="24">
        <f>IFERROR(AA72/AB72*100,"")</f>
        <v>93.02483479144243</v>
      </c>
      <c r="AD72" s="55">
        <f t="shared" ref="AD72:AD78" si="49">IFERROR((AC72-J72)/J72,"")</f>
        <v>4.4355163969800174E-2</v>
      </c>
      <c r="AE72" s="19" t="s">
        <v>128</v>
      </c>
      <c r="AF72" s="27"/>
    </row>
    <row r="73" spans="1:32" ht="96.75" customHeight="1" x14ac:dyDescent="0.3">
      <c r="A73" s="50" t="s">
        <v>123</v>
      </c>
      <c r="B73" s="51" t="s">
        <v>124</v>
      </c>
      <c r="C73" s="19" t="s">
        <v>125</v>
      </c>
      <c r="D73" s="19" t="s">
        <v>126</v>
      </c>
      <c r="E73" s="52" t="s">
        <v>129</v>
      </c>
      <c r="F73" s="22" t="s">
        <v>130</v>
      </c>
      <c r="G73" s="22">
        <v>2025</v>
      </c>
      <c r="H73" s="23">
        <f>'Spectrum Inputs'!B36</f>
        <v>868743</v>
      </c>
      <c r="I73" s="23">
        <f>'Spectrum Inputs'!B22</f>
        <v>964843</v>
      </c>
      <c r="J73" s="24">
        <f t="shared" si="44"/>
        <v>90.039830314362021</v>
      </c>
      <c r="K73" s="23">
        <f>'Spectrum Inputs'!C36</f>
        <v>877970</v>
      </c>
      <c r="L73" s="23">
        <f>'Spectrum Inputs'!C22</f>
        <v>963914</v>
      </c>
      <c r="M73" s="24">
        <f>IFERROR(K73/L73*100,"")</f>
        <v>91.083851878902053</v>
      </c>
      <c r="N73" s="55">
        <f t="shared" si="45"/>
        <v>1.1595108085998939E-2</v>
      </c>
      <c r="O73" s="23">
        <f>'Spectrum Inputs'!D36</f>
        <v>881348</v>
      </c>
      <c r="P73" s="23">
        <f>'Spectrum Inputs'!D22</f>
        <v>962412</v>
      </c>
      <c r="Q73" s="24">
        <f>IFERROR(O73/P73*100,"")</f>
        <v>91.576996130555315</v>
      </c>
      <c r="R73" s="55">
        <f t="shared" si="46"/>
        <v>1.7072064783179682E-2</v>
      </c>
      <c r="S73" s="23">
        <f>'Spectrum Inputs'!E36</f>
        <v>883966</v>
      </c>
      <c r="T73" s="23">
        <f>'Spectrum Inputs'!E22</f>
        <v>960237</v>
      </c>
      <c r="U73" s="24">
        <f>IFERROR(S73/T73*100,"")</f>
        <v>92.057065078725358</v>
      </c>
      <c r="V73" s="55">
        <f t="shared" si="47"/>
        <v>2.2403804597592333E-2</v>
      </c>
      <c r="W73" s="23">
        <f>'Spectrum Inputs'!F36</f>
        <v>886790</v>
      </c>
      <c r="X73" s="23">
        <f>'Spectrum Inputs'!F22</f>
        <v>957875</v>
      </c>
      <c r="Y73" s="24">
        <f>IFERROR(W73/X73*100,"")</f>
        <v>92.578885553960589</v>
      </c>
      <c r="Z73" s="55">
        <f t="shared" si="48"/>
        <v>2.819924505337023E-2</v>
      </c>
      <c r="AA73" s="23">
        <f>'Spectrum Inputs'!G36</f>
        <v>889230</v>
      </c>
      <c r="AB73" s="23">
        <f>'Spectrum Inputs'!G22</f>
        <v>954771</v>
      </c>
      <c r="AC73" s="24">
        <f>IFERROR(AA73/AB73*100,"")</f>
        <v>93.135422001715597</v>
      </c>
      <c r="AD73" s="55">
        <f t="shared" si="49"/>
        <v>3.4380247903019488E-2</v>
      </c>
      <c r="AE73" s="19" t="s">
        <v>128</v>
      </c>
      <c r="AF73" s="27"/>
    </row>
    <row r="74" spans="1:32" ht="96.75" customHeight="1" x14ac:dyDescent="0.3">
      <c r="A74" s="50" t="s">
        <v>123</v>
      </c>
      <c r="B74" s="51" t="s">
        <v>124</v>
      </c>
      <c r="C74" s="19" t="s">
        <v>125</v>
      </c>
      <c r="D74" s="19" t="s">
        <v>126</v>
      </c>
      <c r="E74" s="52" t="s">
        <v>131</v>
      </c>
      <c r="F74" s="22" t="s">
        <v>132</v>
      </c>
      <c r="G74" s="22">
        <v>2025</v>
      </c>
      <c r="H74" s="23">
        <f>'Spectrum Inputs'!B34+'Spectrum Inputs'!B35</f>
        <v>28196</v>
      </c>
      <c r="I74" s="23">
        <f>'Spectrum Inputs'!B20+'Spectrum Inputs'!B21</f>
        <v>42117</v>
      </c>
      <c r="J74" s="24">
        <f t="shared" si="44"/>
        <v>66.946838568748959</v>
      </c>
      <c r="K74" s="23">
        <f>'Spectrum Inputs'!C34+'Spectrum Inputs'!C35</f>
        <v>28246</v>
      </c>
      <c r="L74" s="23">
        <f>'Spectrum Inputs'!C20+'Spectrum Inputs'!C21</f>
        <v>36907</v>
      </c>
      <c r="M74" s="24">
        <f>IFERROR(K74/L74*100,"")</f>
        <v>76.532907036605522</v>
      </c>
      <c r="N74" s="55">
        <f t="shared" si="45"/>
        <v>0.14318926289569969</v>
      </c>
      <c r="O74" s="23">
        <f>'Spectrum Inputs'!D34+'Spectrum Inputs'!D35</f>
        <v>25607</v>
      </c>
      <c r="P74" s="23">
        <f>'Spectrum Inputs'!D20+'Spectrum Inputs'!D21</f>
        <v>32115</v>
      </c>
      <c r="Q74" s="24">
        <f>IFERROR(O74/P74*100,"")</f>
        <v>79.735326171570918</v>
      </c>
      <c r="R74" s="55">
        <f t="shared" si="46"/>
        <v>0.19102451850193378</v>
      </c>
      <c r="S74" s="23">
        <f>'Spectrum Inputs'!E34+'Spectrum Inputs'!E35</f>
        <v>23044</v>
      </c>
      <c r="T74" s="23">
        <f>'Spectrum Inputs'!E20+'Spectrum Inputs'!E21</f>
        <v>27995</v>
      </c>
      <c r="U74" s="24">
        <f>IFERROR(S74/T74*100,"")</f>
        <v>82.314699053402393</v>
      </c>
      <c r="V74" s="55">
        <f t="shared" si="47"/>
        <v>0.22955319195352131</v>
      </c>
      <c r="W74" s="23">
        <f>'Spectrum Inputs'!F34+'Spectrum Inputs'!F35</f>
        <v>20864</v>
      </c>
      <c r="X74" s="23">
        <f>'Spectrum Inputs'!F20+'Spectrum Inputs'!F21</f>
        <v>24492</v>
      </c>
      <c r="Y74" s="24">
        <f>IFERROR(W74/X74*100,"")</f>
        <v>85.186999836681366</v>
      </c>
      <c r="Z74" s="55">
        <f t="shared" si="48"/>
        <v>0.27245739541832503</v>
      </c>
      <c r="AA74" s="23">
        <f>'Spectrum Inputs'!G34+'Spectrum Inputs'!G35</f>
        <v>19151</v>
      </c>
      <c r="AB74" s="23">
        <f>'Spectrum Inputs'!G20+'Spectrum Inputs'!G21</f>
        <v>21722</v>
      </c>
      <c r="AC74" s="24">
        <f>IFERROR(AA74/AB74*100,"")</f>
        <v>88.164073289752324</v>
      </c>
      <c r="AD74" s="55">
        <f t="shared" si="49"/>
        <v>0.31692661184015419</v>
      </c>
      <c r="AE74" s="19" t="s">
        <v>128</v>
      </c>
      <c r="AF74" s="27"/>
    </row>
    <row r="75" spans="1:32" ht="96.75" customHeight="1" x14ac:dyDescent="0.3">
      <c r="A75" s="50" t="s">
        <v>123</v>
      </c>
      <c r="B75" s="51" t="s">
        <v>124</v>
      </c>
      <c r="C75" s="19" t="s">
        <v>125</v>
      </c>
      <c r="D75" s="19" t="s">
        <v>126</v>
      </c>
      <c r="E75" s="52"/>
      <c r="F75" s="22" t="s">
        <v>24</v>
      </c>
      <c r="G75" s="22">
        <v>2025</v>
      </c>
      <c r="H75" s="23">
        <f>'Spectrum Inputs'!B37</f>
        <v>586324</v>
      </c>
      <c r="I75" s="23">
        <f>'Spectrum Inputs'!B23</f>
        <v>646519</v>
      </c>
      <c r="J75" s="24">
        <f t="shared" si="44"/>
        <v>90.689368757917393</v>
      </c>
      <c r="K75" s="23">
        <f>'Spectrum Inputs'!C37</f>
        <v>594766</v>
      </c>
      <c r="L75" s="23">
        <f>'Spectrum Inputs'!C23</f>
        <v>644553</v>
      </c>
      <c r="M75" s="24">
        <f>IFERROR(K75/L75*100,"")</f>
        <v>92.275732174080332</v>
      </c>
      <c r="N75" s="56">
        <f t="shared" si="45"/>
        <v>1.7492275422023446E-2</v>
      </c>
      <c r="O75" s="23">
        <f>'Spectrum Inputs'!D37</f>
        <v>595597</v>
      </c>
      <c r="P75" s="23">
        <f>'Spectrum Inputs'!D23</f>
        <v>642448</v>
      </c>
      <c r="Q75" s="24">
        <f>IFERROR(O75/P75*100,"")</f>
        <v>92.707425348043742</v>
      </c>
      <c r="R75" s="56">
        <f t="shared" si="46"/>
        <v>2.2252405301367458E-2</v>
      </c>
      <c r="S75" s="23">
        <f>'Spectrum Inputs'!E37</f>
        <v>596035</v>
      </c>
      <c r="T75" s="23">
        <f>'Spectrum Inputs'!E23</f>
        <v>640331</v>
      </c>
      <c r="U75" s="24">
        <f>IFERROR(S75/T75*100,"")</f>
        <v>93.082327733625263</v>
      </c>
      <c r="V75" s="56">
        <f t="shared" si="47"/>
        <v>2.6386322988922108E-2</v>
      </c>
      <c r="W75" s="23">
        <f>'Spectrum Inputs'!F37</f>
        <v>596845</v>
      </c>
      <c r="X75" s="23">
        <f>'Spectrum Inputs'!F23</f>
        <v>638449</v>
      </c>
      <c r="Y75" s="24">
        <f>IFERROR(W75/X75*100,"")</f>
        <v>93.483582870362397</v>
      </c>
      <c r="Z75" s="56">
        <f t="shared" si="48"/>
        <v>3.081082326092454E-2</v>
      </c>
      <c r="AA75" s="23">
        <f>'Spectrum Inputs'!G37</f>
        <v>597813</v>
      </c>
      <c r="AB75" s="23">
        <f>'Spectrum Inputs'!G23</f>
        <v>636518</v>
      </c>
      <c r="AC75" s="24">
        <f>IFERROR(AA75/AB75*100,"")</f>
        <v>93.919260727897708</v>
      </c>
      <c r="AD75" s="56">
        <f t="shared" si="49"/>
        <v>3.5614890854539526E-2</v>
      </c>
      <c r="AE75" s="19" t="s">
        <v>128</v>
      </c>
      <c r="AF75" s="27"/>
    </row>
    <row r="76" spans="1:32" ht="96.75" customHeight="1" x14ac:dyDescent="0.3">
      <c r="A76" s="50" t="s">
        <v>123</v>
      </c>
      <c r="B76" s="51" t="s">
        <v>124</v>
      </c>
      <c r="C76" s="19" t="s">
        <v>125</v>
      </c>
      <c r="D76" s="19" t="s">
        <v>126</v>
      </c>
      <c r="E76" s="52"/>
      <c r="F76" s="22" t="s">
        <v>25</v>
      </c>
      <c r="G76" s="22">
        <v>2025</v>
      </c>
      <c r="H76" s="23">
        <f>'Spectrum Inputs'!B38</f>
        <v>310615</v>
      </c>
      <c r="I76" s="23">
        <f>'Spectrum Inputs'!B24</f>
        <v>360439</v>
      </c>
      <c r="J76" s="24">
        <f t="shared" si="44"/>
        <v>86.176856555478182</v>
      </c>
      <c r="K76" s="23">
        <f>'Spectrum Inputs'!C38</f>
        <v>311452</v>
      </c>
      <c r="L76" s="23">
        <f>'Spectrum Inputs'!C24</f>
        <v>356269</v>
      </c>
      <c r="M76" s="24">
        <f>IFERROR(K76/L76*100,"")</f>
        <v>87.420460382463816</v>
      </c>
      <c r="N76" s="55">
        <f t="shared" si="45"/>
        <v>1.4430833018201791E-2</v>
      </c>
      <c r="O76" s="23">
        <f>'Spectrum Inputs'!D38</f>
        <v>311360</v>
      </c>
      <c r="P76" s="23">
        <f>'Spectrum Inputs'!D24</f>
        <v>352082</v>
      </c>
      <c r="Q76" s="24">
        <f>IFERROR(O76/P76*100,"")</f>
        <v>88.433944365233103</v>
      </c>
      <c r="R76" s="55">
        <f t="shared" si="46"/>
        <v>2.6191345332976644E-2</v>
      </c>
      <c r="S76" s="23">
        <f>'Spectrum Inputs'!E38</f>
        <v>310976</v>
      </c>
      <c r="T76" s="23">
        <f>'Spectrum Inputs'!E24</f>
        <v>347899</v>
      </c>
      <c r="U76" s="24">
        <f>IFERROR(S76/T76*100,"")</f>
        <v>89.386862278994755</v>
      </c>
      <c r="V76" s="55">
        <f t="shared" si="47"/>
        <v>3.7249046342854988E-2</v>
      </c>
      <c r="W76" s="23">
        <f>'Spectrum Inputs'!F38</f>
        <v>310812</v>
      </c>
      <c r="X76" s="23">
        <f>'Spectrum Inputs'!F24</f>
        <v>343919</v>
      </c>
      <c r="Y76" s="24">
        <f>IFERROR(W76/X76*100,"")</f>
        <v>90.373605412902464</v>
      </c>
      <c r="Z76" s="55">
        <f t="shared" si="48"/>
        <v>4.8699256681781329E-2</v>
      </c>
      <c r="AA76" s="23">
        <f>'Spectrum Inputs'!G38</f>
        <v>310570</v>
      </c>
      <c r="AB76" s="23">
        <f>'Spectrum Inputs'!G24</f>
        <v>339977</v>
      </c>
      <c r="AC76" s="24">
        <f>IFERROR(AA76/AB76*100,"")</f>
        <v>91.350297225988825</v>
      </c>
      <c r="AD76" s="55">
        <f t="shared" si="49"/>
        <v>6.0032831055750233E-2</v>
      </c>
      <c r="AE76" s="19" t="s">
        <v>128</v>
      </c>
      <c r="AF76" s="27"/>
    </row>
    <row r="77" spans="1:32" ht="96.75" customHeight="1" x14ac:dyDescent="0.3">
      <c r="A77" s="50" t="s">
        <v>123</v>
      </c>
      <c r="B77" s="51" t="s">
        <v>124</v>
      </c>
      <c r="C77" s="19" t="s">
        <v>125</v>
      </c>
      <c r="D77" s="19" t="s">
        <v>126</v>
      </c>
      <c r="E77" s="52"/>
      <c r="F77" s="22" t="s">
        <v>133</v>
      </c>
      <c r="G77" s="22">
        <v>2025</v>
      </c>
      <c r="H77" s="23">
        <f>'Spectrum Inputs'!B92*'Spectrum Inputs'!B90/100</f>
        <v>35493.64</v>
      </c>
      <c r="I77" s="23">
        <f>'Spectrum Inputs'!B92</f>
        <v>39004</v>
      </c>
      <c r="J77" s="24">
        <f t="shared" si="44"/>
        <v>91</v>
      </c>
      <c r="K77" s="23">
        <f>IFERROR(M77/100*L77,"")</f>
        <v>13838.064501539387</v>
      </c>
      <c r="L77" s="23">
        <f>I77</f>
        <v>39004</v>
      </c>
      <c r="M77" s="24">
        <f>IFERROR(J82*('Spectrum Inputs'!C110/'Spectrum Inputs'!B110),"")</f>
        <v>35.47857784211719</v>
      </c>
      <c r="N77" s="55">
        <f t="shared" si="45"/>
        <v>-0.61012551821849237</v>
      </c>
      <c r="O77" s="23">
        <f>IFERROR(Q77/100*P77,"")</f>
        <v>13882.93604394775</v>
      </c>
      <c r="P77" s="23">
        <f>I77</f>
        <v>39004</v>
      </c>
      <c r="Q77" s="24">
        <f>IFERROR(J82*('Spectrum Inputs'!D110/'Spectrum Inputs'!B110),"")</f>
        <v>35.593621279734769</v>
      </c>
      <c r="R77" s="55">
        <f t="shared" si="46"/>
        <v>-0.60886130461829924</v>
      </c>
      <c r="S77" s="23">
        <f>IFERROR(U77/100*T77,"")</f>
        <v>13925.11629798546</v>
      </c>
      <c r="T77" s="23">
        <f>I77</f>
        <v>39004</v>
      </c>
      <c r="U77" s="24">
        <f>IFERROR(J82*('Spectrum Inputs'!E110/'Spectrum Inputs'!B110),"")</f>
        <v>35.701764685635986</v>
      </c>
      <c r="V77" s="55">
        <f t="shared" si="47"/>
        <v>-0.60767291554246172</v>
      </c>
      <c r="W77" s="23">
        <f>IFERROR(Y77/100*X77,"")</f>
        <v>13973.308363526876</v>
      </c>
      <c r="X77" s="23">
        <f>I77</f>
        <v>39004</v>
      </c>
      <c r="Y77" s="24">
        <f>IFERROR(J82*('Spectrum Inputs'!F110/'Spectrum Inputs'!B110),"")</f>
        <v>35.825321411975374</v>
      </c>
      <c r="Z77" s="55">
        <f t="shared" si="48"/>
        <v>-0.60631514931895192</v>
      </c>
      <c r="AA77" s="23">
        <f>IFERROR(AC77/100*AB77,"")</f>
        <v>14029.030485986092</v>
      </c>
      <c r="AB77" s="23">
        <f>I77</f>
        <v>39004</v>
      </c>
      <c r="AC77" s="24">
        <f>IFERROR(J82*('Spectrum Inputs'!G110/'Spectrum Inputs'!B110),"")</f>
        <v>35.968183996477521</v>
      </c>
      <c r="AD77" s="55">
        <f t="shared" si="49"/>
        <v>-0.60474523080793929</v>
      </c>
      <c r="AE77" s="19" t="s">
        <v>134</v>
      </c>
      <c r="AF77" s="27"/>
    </row>
    <row r="78" spans="1:32" ht="96.75" customHeight="1" x14ac:dyDescent="0.3">
      <c r="A78" s="50" t="s">
        <v>123</v>
      </c>
      <c r="B78" s="51" t="s">
        <v>124</v>
      </c>
      <c r="C78" s="19" t="s">
        <v>125</v>
      </c>
      <c r="D78" s="19" t="s">
        <v>126</v>
      </c>
      <c r="E78" s="52"/>
      <c r="F78" s="22" t="s">
        <v>135</v>
      </c>
      <c r="G78" s="22">
        <v>2025</v>
      </c>
      <c r="H78" s="23">
        <f>'Spectrum Inputs'!C92*'Spectrum Inputs'!C90/100</f>
        <v>32736.674999999999</v>
      </c>
      <c r="I78" s="23">
        <f>'Spectrum Inputs'!C92</f>
        <v>35391</v>
      </c>
      <c r="J78" s="24">
        <f t="shared" si="44"/>
        <v>92.5</v>
      </c>
      <c r="K78" s="23">
        <f>IFERROR(M78/100*L78,"")</f>
        <v>32087.062128003825</v>
      </c>
      <c r="L78" s="23">
        <f>I78</f>
        <v>35391</v>
      </c>
      <c r="M78" s="24">
        <f>IFERROR(J83*('Spectrum Inputs'!C111/'Spectrum Inputs'!B111),"")</f>
        <v>90.664468729348783</v>
      </c>
      <c r="N78" s="55">
        <f t="shared" si="45"/>
        <v>-1.9843581304337478E-2</v>
      </c>
      <c r="O78" s="23">
        <f>IFERROR(Q78/100*P78,"")</f>
        <v>32391.080146079919</v>
      </c>
      <c r="P78" s="23">
        <f>I78</f>
        <v>35391</v>
      </c>
      <c r="Q78" s="24">
        <f>IFERROR(J83*('Spectrum Inputs'!D111/'Spectrum Inputs'!B111),"")</f>
        <v>91.5234950865472</v>
      </c>
      <c r="R78" s="55">
        <f t="shared" si="46"/>
        <v>-1.0556809875165404E-2</v>
      </c>
      <c r="S78" s="23">
        <f>IFERROR(U78/100*T78,"")</f>
        <v>32694.911440192129</v>
      </c>
      <c r="T78" s="23">
        <f>I78</f>
        <v>35391</v>
      </c>
      <c r="U78" s="24">
        <f>IFERROR(J83*('Spectrum Inputs'!E111/'Spectrum Inputs'!B111),"")</f>
        <v>92.381993840784745</v>
      </c>
      <c r="V78" s="55">
        <f t="shared" si="47"/>
        <v>-1.2757422617865456E-3</v>
      </c>
      <c r="W78" s="23">
        <f>IFERROR(Y78/100*X78,"")</f>
        <v>33016.373348365531</v>
      </c>
      <c r="X78" s="23">
        <f>I78</f>
        <v>35391</v>
      </c>
      <c r="Y78" s="24">
        <f>IFERROR(J83*('Spectrum Inputs'!F111/'Spectrum Inputs'!B111),"")</f>
        <v>93.290309254797904</v>
      </c>
      <c r="Z78" s="55">
        <f t="shared" si="48"/>
        <v>8.5438838356530194E-3</v>
      </c>
      <c r="AA78" s="23">
        <f>IFERROR(AC78/100*AB78,"")</f>
        <v>33340.669275859713</v>
      </c>
      <c r="AB78" s="23">
        <f>I78</f>
        <v>35391</v>
      </c>
      <c r="AC78" s="24">
        <f>IFERROR(J83*('Spectrum Inputs'!G111/'Spectrum Inputs'!B111),"")</f>
        <v>94.206632408973221</v>
      </c>
      <c r="AD78" s="55">
        <f t="shared" si="49"/>
        <v>1.8450080097007791E-2</v>
      </c>
      <c r="AE78" s="19" t="s">
        <v>136</v>
      </c>
      <c r="AF78" s="27"/>
    </row>
    <row r="79" spans="1:32" ht="96.75" customHeight="1" x14ac:dyDescent="0.3">
      <c r="A79" s="50" t="s">
        <v>123</v>
      </c>
      <c r="B79" s="51" t="s">
        <v>124</v>
      </c>
      <c r="C79" s="19" t="s">
        <v>125</v>
      </c>
      <c r="D79" s="19" t="s">
        <v>126</v>
      </c>
      <c r="E79" s="52"/>
      <c r="F79" s="22" t="s">
        <v>137</v>
      </c>
      <c r="G79" s="22">
        <v>2025</v>
      </c>
      <c r="H79" s="23"/>
      <c r="I79" s="23">
        <f>'Spectrum Inputs'!D92</f>
        <v>4876</v>
      </c>
      <c r="J79" s="24"/>
      <c r="K79" s="23"/>
      <c r="L79" s="23">
        <f>I79</f>
        <v>4876</v>
      </c>
      <c r="M79" s="24"/>
      <c r="N79" s="55"/>
      <c r="O79" s="23"/>
      <c r="P79" s="23">
        <f>I79</f>
        <v>4876</v>
      </c>
      <c r="Q79" s="24"/>
      <c r="R79" s="55"/>
      <c r="S79" s="23"/>
      <c r="T79" s="23">
        <f>I79</f>
        <v>4876</v>
      </c>
      <c r="U79" s="24"/>
      <c r="V79" s="55"/>
      <c r="W79" s="23"/>
      <c r="X79" s="23">
        <f>I79</f>
        <v>4876</v>
      </c>
      <c r="Y79" s="24"/>
      <c r="Z79" s="55"/>
      <c r="AA79" s="23"/>
      <c r="AB79" s="23">
        <f>I79</f>
        <v>4876</v>
      </c>
      <c r="AC79" s="24"/>
      <c r="AD79" s="55"/>
      <c r="AE79" s="19" t="s">
        <v>138</v>
      </c>
      <c r="AF79" s="43"/>
    </row>
    <row r="80" spans="1:32" ht="96.75" customHeight="1" x14ac:dyDescent="0.3">
      <c r="A80" s="50" t="s">
        <v>123</v>
      </c>
      <c r="B80" s="51" t="s">
        <v>124</v>
      </c>
      <c r="C80" s="19" t="s">
        <v>125</v>
      </c>
      <c r="D80" s="19" t="s">
        <v>126</v>
      </c>
      <c r="E80" s="52"/>
      <c r="F80" s="22" t="s">
        <v>40</v>
      </c>
      <c r="G80" s="22">
        <v>2025</v>
      </c>
      <c r="H80" s="23"/>
      <c r="I80" s="23">
        <f>'Spectrum Inputs'!E92</f>
        <v>8369</v>
      </c>
      <c r="J80" s="24"/>
      <c r="K80" s="23"/>
      <c r="L80" s="23">
        <f>I80</f>
        <v>8369</v>
      </c>
      <c r="M80" s="24"/>
      <c r="N80" s="55"/>
      <c r="O80" s="23"/>
      <c r="P80" s="23">
        <f>I80</f>
        <v>8369</v>
      </c>
      <c r="Q80" s="24"/>
      <c r="R80" s="55"/>
      <c r="S80" s="23"/>
      <c r="T80" s="23">
        <f>I80</f>
        <v>8369</v>
      </c>
      <c r="U80" s="24"/>
      <c r="V80" s="55"/>
      <c r="W80" s="23"/>
      <c r="X80" s="23">
        <f>I80</f>
        <v>8369</v>
      </c>
      <c r="Y80" s="24"/>
      <c r="Z80" s="55"/>
      <c r="AA80" s="23"/>
      <c r="AB80" s="23">
        <f>I80</f>
        <v>8369</v>
      </c>
      <c r="AC80" s="24"/>
      <c r="AD80" s="55"/>
      <c r="AE80" s="19" t="s">
        <v>138</v>
      </c>
      <c r="AF80" s="43"/>
    </row>
    <row r="81" spans="1:32" ht="96.75" customHeight="1" x14ac:dyDescent="0.3">
      <c r="A81" s="46" t="s">
        <v>123</v>
      </c>
      <c r="B81" s="47" t="s">
        <v>139</v>
      </c>
      <c r="C81" s="30" t="s">
        <v>140</v>
      </c>
      <c r="D81" s="30" t="s">
        <v>141</v>
      </c>
      <c r="E81" s="48"/>
      <c r="F81" s="33" t="s">
        <v>19</v>
      </c>
      <c r="G81" s="33">
        <v>2025</v>
      </c>
      <c r="H81" s="34">
        <v>327</v>
      </c>
      <c r="I81" s="34">
        <v>850</v>
      </c>
      <c r="J81" s="38">
        <f>IFERROR(H81/I81*100,"")</f>
        <v>38.470588235294116</v>
      </c>
      <c r="K81" s="34">
        <f>IFERROR(M81/100*L81,"")</f>
        <v>423.09999999999997</v>
      </c>
      <c r="L81" s="34">
        <f>I81</f>
        <v>850</v>
      </c>
      <c r="M81" s="38">
        <f>IFERROR(J81+(95-J81)*1/5,"")</f>
        <v>49.776470588235291</v>
      </c>
      <c r="N81" s="49">
        <f t="shared" ref="N81:N93" si="50">IFERROR((M81-J81)/J81,"")</f>
        <v>0.29388379204892967</v>
      </c>
      <c r="O81" s="34">
        <f>IFERROR(Q81/100*P81,"")</f>
        <v>519.19999999999993</v>
      </c>
      <c r="P81" s="34">
        <f>I81</f>
        <v>850</v>
      </c>
      <c r="Q81" s="38">
        <f>IFERROR(J81+(95-J81)*2/5,"")</f>
        <v>61.082352941176467</v>
      </c>
      <c r="R81" s="49">
        <f t="shared" ref="R81:R93" si="51">IFERROR((Q81-J81)/J81,"")</f>
        <v>0.58776758409785934</v>
      </c>
      <c r="S81" s="34">
        <f>IFERROR(U81/100*T81,"")</f>
        <v>615.30000000000007</v>
      </c>
      <c r="T81" s="34">
        <f>I81</f>
        <v>850</v>
      </c>
      <c r="U81" s="38">
        <f>IFERROR(J81+(95-J81)*3/5,"")</f>
        <v>72.388235294117649</v>
      </c>
      <c r="V81" s="49">
        <f t="shared" ref="V81:V93" si="52">IFERROR((U81-J81)/J81,"")</f>
        <v>0.88165137614678912</v>
      </c>
      <c r="W81" s="34">
        <f>IFERROR(Y81/100*X81,"")</f>
        <v>711.4</v>
      </c>
      <c r="X81" s="34">
        <f>I81</f>
        <v>850</v>
      </c>
      <c r="Y81" s="38">
        <f>IFERROR(J81+(95-J81)*4/5,"")</f>
        <v>83.694117647058818</v>
      </c>
      <c r="Z81" s="49">
        <f t="shared" ref="Z81:Z93" si="53">IFERROR((Y81-J81)/J81,"")</f>
        <v>1.1755351681957187</v>
      </c>
      <c r="AA81" s="34">
        <f>IFERROR(AC81/100*AB81,"")</f>
        <v>807.5</v>
      </c>
      <c r="AB81" s="34">
        <f>I81</f>
        <v>850</v>
      </c>
      <c r="AC81" s="38">
        <f>IFERROR(J81+(95-J81)*5/5,"")</f>
        <v>95</v>
      </c>
      <c r="AD81" s="49">
        <f t="shared" ref="AD81:AD93" si="54">IFERROR((AC81-J81)/J81,"")</f>
        <v>1.4694189602446484</v>
      </c>
      <c r="AE81" s="30" t="s">
        <v>142</v>
      </c>
      <c r="AF81" s="43"/>
    </row>
    <row r="82" spans="1:32" ht="96.75" customHeight="1" x14ac:dyDescent="0.3">
      <c r="A82" s="50" t="s">
        <v>123</v>
      </c>
      <c r="B82" s="51" t="s">
        <v>143</v>
      </c>
      <c r="C82" s="19" t="s">
        <v>144</v>
      </c>
      <c r="D82" s="19" t="s">
        <v>145</v>
      </c>
      <c r="E82" s="52"/>
      <c r="F82" s="22" t="s">
        <v>146</v>
      </c>
      <c r="G82" s="22">
        <v>2025</v>
      </c>
      <c r="H82" s="23">
        <f>IFERROR(J82/100*I82,"")</f>
        <v>180925.15</v>
      </c>
      <c r="I82" s="23">
        <f>'Spectrum Inputs'!B130</f>
        <v>516929</v>
      </c>
      <c r="J82" s="24">
        <f>35</f>
        <v>35</v>
      </c>
      <c r="K82" s="23">
        <f>IFERROR(M82/100*L82,"")</f>
        <v>236240.84</v>
      </c>
      <c r="L82" s="23">
        <f>'Spectrum Inputs'!C130</f>
        <v>536911</v>
      </c>
      <c r="M82" s="24">
        <f>IFERROR(J82+(80-J82)*1/5,"")</f>
        <v>44</v>
      </c>
      <c r="N82" s="53">
        <f t="shared" si="50"/>
        <v>0.25714285714285712</v>
      </c>
      <c r="O82" s="23">
        <f>IFERROR(Q82/100*P82,"")</f>
        <v>293282.92000000004</v>
      </c>
      <c r="P82" s="23">
        <f>'Spectrum Inputs'!D130</f>
        <v>553364</v>
      </c>
      <c r="Q82" s="24">
        <f>IFERROR(J82+(80-J82)*2/5,"")</f>
        <v>53</v>
      </c>
      <c r="R82" s="53">
        <f t="shared" si="51"/>
        <v>0.51428571428571423</v>
      </c>
      <c r="S82" s="23">
        <f>IFERROR(U82/100*T82,"")</f>
        <v>352982.74</v>
      </c>
      <c r="T82" s="23">
        <f>'Spectrum Inputs'!E130</f>
        <v>569327</v>
      </c>
      <c r="U82" s="24">
        <f>IFERROR(J82+(80-J82)*3/5,"")</f>
        <v>62</v>
      </c>
      <c r="V82" s="53">
        <f t="shared" si="52"/>
        <v>0.77142857142857146</v>
      </c>
      <c r="W82" s="23">
        <f>IFERROR(Y82/100*X82,"")</f>
        <v>415036.88999999996</v>
      </c>
      <c r="X82" s="23">
        <f>'Spectrum Inputs'!F130</f>
        <v>584559</v>
      </c>
      <c r="Y82" s="24">
        <f>IFERROR(J82+(80-J82)*4/5,"")</f>
        <v>71</v>
      </c>
      <c r="Z82" s="53">
        <f t="shared" si="53"/>
        <v>1.0285714285714285</v>
      </c>
      <c r="AA82" s="23">
        <f>IFERROR(AC82/100*AB82,"")</f>
        <v>479181.60000000003</v>
      </c>
      <c r="AB82" s="23">
        <f>'Spectrum Inputs'!G130</f>
        <v>598977</v>
      </c>
      <c r="AC82" s="24">
        <f>IFERROR(J82+(80-J82)*5/5,"")</f>
        <v>80</v>
      </c>
      <c r="AD82" s="53">
        <f t="shared" si="54"/>
        <v>1.2857142857142858</v>
      </c>
      <c r="AE82" s="19" t="s">
        <v>147</v>
      </c>
      <c r="AF82" s="43"/>
    </row>
    <row r="83" spans="1:32" ht="135" customHeight="1" x14ac:dyDescent="0.3">
      <c r="A83" s="46" t="s">
        <v>123</v>
      </c>
      <c r="B83" s="47" t="s">
        <v>148</v>
      </c>
      <c r="C83" s="30" t="s">
        <v>149</v>
      </c>
      <c r="D83" s="30" t="s">
        <v>150</v>
      </c>
      <c r="E83" s="48" t="s">
        <v>151</v>
      </c>
      <c r="F83" s="33" t="s">
        <v>152</v>
      </c>
      <c r="G83" s="33">
        <v>2025</v>
      </c>
      <c r="H83" s="34"/>
      <c r="I83" s="34"/>
      <c r="J83" s="38">
        <v>90</v>
      </c>
      <c r="K83" s="34"/>
      <c r="L83" s="34"/>
      <c r="M83" s="38">
        <v>90</v>
      </c>
      <c r="N83" s="49">
        <f t="shared" si="50"/>
        <v>0</v>
      </c>
      <c r="O83" s="34"/>
      <c r="P83" s="34"/>
      <c r="Q83" s="38">
        <v>90</v>
      </c>
      <c r="R83" s="49">
        <f t="shared" si="51"/>
        <v>0</v>
      </c>
      <c r="S83" s="34"/>
      <c r="T83" s="34"/>
      <c r="U83" s="38">
        <v>90</v>
      </c>
      <c r="V83" s="49">
        <f t="shared" si="52"/>
        <v>0</v>
      </c>
      <c r="W83" s="34"/>
      <c r="X83" s="34"/>
      <c r="Y83" s="38">
        <v>90</v>
      </c>
      <c r="Z83" s="49">
        <f t="shared" si="53"/>
        <v>0</v>
      </c>
      <c r="AA83" s="34"/>
      <c r="AB83" s="34"/>
      <c r="AC83" s="38">
        <v>90</v>
      </c>
      <c r="AD83" s="49">
        <f t="shared" si="54"/>
        <v>0</v>
      </c>
      <c r="AE83" s="30" t="s">
        <v>278</v>
      </c>
      <c r="AF83" s="43"/>
    </row>
    <row r="84" spans="1:32" ht="135" customHeight="1" x14ac:dyDescent="0.3">
      <c r="A84" s="46" t="s">
        <v>123</v>
      </c>
      <c r="B84" s="47" t="s">
        <v>148</v>
      </c>
      <c r="C84" s="30" t="s">
        <v>149</v>
      </c>
      <c r="D84" s="30" t="s">
        <v>150</v>
      </c>
      <c r="E84" s="48" t="s">
        <v>154</v>
      </c>
      <c r="F84" s="33" t="s">
        <v>34</v>
      </c>
      <c r="G84" s="33">
        <v>2025</v>
      </c>
      <c r="H84" s="34"/>
      <c r="I84" s="34"/>
      <c r="J84" s="38">
        <v>90</v>
      </c>
      <c r="K84" s="34"/>
      <c r="L84" s="34"/>
      <c r="M84" s="38">
        <v>90</v>
      </c>
      <c r="N84" s="49">
        <f t="shared" si="50"/>
        <v>0</v>
      </c>
      <c r="O84" s="34"/>
      <c r="P84" s="34"/>
      <c r="Q84" s="38">
        <v>90</v>
      </c>
      <c r="R84" s="49">
        <f t="shared" si="51"/>
        <v>0</v>
      </c>
      <c r="S84" s="34"/>
      <c r="T84" s="34"/>
      <c r="U84" s="38">
        <v>90</v>
      </c>
      <c r="V84" s="49">
        <f t="shared" si="52"/>
        <v>0</v>
      </c>
      <c r="W84" s="34"/>
      <c r="X84" s="34"/>
      <c r="Y84" s="38">
        <v>90</v>
      </c>
      <c r="Z84" s="49">
        <f t="shared" si="53"/>
        <v>0</v>
      </c>
      <c r="AA84" s="34"/>
      <c r="AB84" s="34"/>
      <c r="AC84" s="38">
        <v>90</v>
      </c>
      <c r="AD84" s="49">
        <f t="shared" si="54"/>
        <v>0</v>
      </c>
      <c r="AE84" s="30" t="s">
        <v>153</v>
      </c>
      <c r="AF84" s="43"/>
    </row>
    <row r="85" spans="1:32" ht="135" customHeight="1" x14ac:dyDescent="0.3">
      <c r="A85" s="46" t="s">
        <v>123</v>
      </c>
      <c r="B85" s="47" t="s">
        <v>148</v>
      </c>
      <c r="C85" s="30" t="s">
        <v>149</v>
      </c>
      <c r="D85" s="30" t="s">
        <v>150</v>
      </c>
      <c r="E85" s="48" t="s">
        <v>155</v>
      </c>
      <c r="F85" s="33" t="s">
        <v>37</v>
      </c>
      <c r="G85" s="33">
        <v>2025</v>
      </c>
      <c r="H85" s="34"/>
      <c r="I85" s="34"/>
      <c r="J85" s="38">
        <v>90</v>
      </c>
      <c r="K85" s="34"/>
      <c r="L85" s="34"/>
      <c r="M85" s="38">
        <v>90</v>
      </c>
      <c r="N85" s="49">
        <f t="shared" si="50"/>
        <v>0</v>
      </c>
      <c r="O85" s="34"/>
      <c r="P85" s="34"/>
      <c r="Q85" s="38">
        <v>90</v>
      </c>
      <c r="R85" s="49">
        <f t="shared" si="51"/>
        <v>0</v>
      </c>
      <c r="S85" s="34"/>
      <c r="T85" s="34"/>
      <c r="U85" s="38">
        <v>90</v>
      </c>
      <c r="V85" s="49">
        <f t="shared" si="52"/>
        <v>0</v>
      </c>
      <c r="W85" s="34"/>
      <c r="X85" s="34"/>
      <c r="Y85" s="38">
        <v>90</v>
      </c>
      <c r="Z85" s="49">
        <f t="shared" si="53"/>
        <v>0</v>
      </c>
      <c r="AA85" s="34"/>
      <c r="AB85" s="34"/>
      <c r="AC85" s="38">
        <v>90</v>
      </c>
      <c r="AD85" s="49">
        <f t="shared" si="54"/>
        <v>0</v>
      </c>
      <c r="AE85" s="30" t="s">
        <v>153</v>
      </c>
      <c r="AF85" s="43"/>
    </row>
    <row r="86" spans="1:32" ht="135" customHeight="1" x14ac:dyDescent="0.3">
      <c r="A86" s="46" t="s">
        <v>123</v>
      </c>
      <c r="B86" s="47" t="s">
        <v>148</v>
      </c>
      <c r="C86" s="30" t="s">
        <v>149</v>
      </c>
      <c r="D86" s="30" t="s">
        <v>150</v>
      </c>
      <c r="E86" s="48" t="s">
        <v>156</v>
      </c>
      <c r="F86" s="33" t="s">
        <v>31</v>
      </c>
      <c r="G86" s="33">
        <v>2025</v>
      </c>
      <c r="H86" s="34"/>
      <c r="I86" s="34"/>
      <c r="J86" s="38">
        <v>90</v>
      </c>
      <c r="K86" s="34"/>
      <c r="L86" s="34"/>
      <c r="M86" s="38">
        <v>90</v>
      </c>
      <c r="N86" s="49">
        <f t="shared" si="50"/>
        <v>0</v>
      </c>
      <c r="O86" s="34"/>
      <c r="P86" s="34"/>
      <c r="Q86" s="38">
        <v>90</v>
      </c>
      <c r="R86" s="49">
        <f t="shared" si="51"/>
        <v>0</v>
      </c>
      <c r="S86" s="34"/>
      <c r="T86" s="34"/>
      <c r="U86" s="38">
        <v>90</v>
      </c>
      <c r="V86" s="49">
        <f t="shared" si="52"/>
        <v>0</v>
      </c>
      <c r="W86" s="34"/>
      <c r="X86" s="34"/>
      <c r="Y86" s="38">
        <v>90</v>
      </c>
      <c r="Z86" s="49">
        <f t="shared" si="53"/>
        <v>0</v>
      </c>
      <c r="AA86" s="34"/>
      <c r="AB86" s="34"/>
      <c r="AC86" s="38">
        <v>90</v>
      </c>
      <c r="AD86" s="49">
        <f t="shared" si="54"/>
        <v>0</v>
      </c>
      <c r="AE86" s="30" t="s">
        <v>153</v>
      </c>
      <c r="AF86" s="43"/>
    </row>
    <row r="87" spans="1:32" ht="135" customHeight="1" x14ac:dyDescent="0.3">
      <c r="A87" s="46" t="s">
        <v>123</v>
      </c>
      <c r="B87" s="47" t="s">
        <v>148</v>
      </c>
      <c r="C87" s="30" t="s">
        <v>149</v>
      </c>
      <c r="D87" s="30" t="s">
        <v>150</v>
      </c>
      <c r="E87" s="48" t="s">
        <v>157</v>
      </c>
      <c r="F87" s="33" t="s">
        <v>40</v>
      </c>
      <c r="G87" s="33">
        <v>2025</v>
      </c>
      <c r="H87" s="34"/>
      <c r="I87" s="34"/>
      <c r="J87" s="38">
        <v>90</v>
      </c>
      <c r="K87" s="34"/>
      <c r="L87" s="34"/>
      <c r="M87" s="38">
        <v>90</v>
      </c>
      <c r="N87" s="49">
        <f t="shared" si="50"/>
        <v>0</v>
      </c>
      <c r="O87" s="34"/>
      <c r="P87" s="34"/>
      <c r="Q87" s="38">
        <v>90</v>
      </c>
      <c r="R87" s="49">
        <f t="shared" si="51"/>
        <v>0</v>
      </c>
      <c r="S87" s="34"/>
      <c r="T87" s="34"/>
      <c r="U87" s="38">
        <v>90</v>
      </c>
      <c r="V87" s="49">
        <f t="shared" si="52"/>
        <v>0</v>
      </c>
      <c r="W87" s="34"/>
      <c r="X87" s="34"/>
      <c r="Y87" s="38">
        <v>90</v>
      </c>
      <c r="Z87" s="49">
        <f t="shared" si="53"/>
        <v>0</v>
      </c>
      <c r="AA87" s="34"/>
      <c r="AB87" s="34"/>
      <c r="AC87" s="38">
        <v>90</v>
      </c>
      <c r="AD87" s="49">
        <f t="shared" si="54"/>
        <v>0</v>
      </c>
      <c r="AE87" s="30" t="s">
        <v>153</v>
      </c>
      <c r="AF87" s="43"/>
    </row>
    <row r="88" spans="1:32" ht="135" customHeight="1" x14ac:dyDescent="0.3">
      <c r="A88" s="46" t="s">
        <v>123</v>
      </c>
      <c r="B88" s="47" t="s">
        <v>148</v>
      </c>
      <c r="C88" s="30" t="s">
        <v>149</v>
      </c>
      <c r="D88" s="30" t="s">
        <v>150</v>
      </c>
      <c r="E88" s="48" t="s">
        <v>158</v>
      </c>
      <c r="F88" s="33" t="s">
        <v>159</v>
      </c>
      <c r="G88" s="33">
        <v>2025</v>
      </c>
      <c r="H88" s="34"/>
      <c r="I88" s="34"/>
      <c r="J88" s="38">
        <v>90</v>
      </c>
      <c r="K88" s="34"/>
      <c r="L88" s="34"/>
      <c r="M88" s="38">
        <v>90</v>
      </c>
      <c r="N88" s="49">
        <f t="shared" si="50"/>
        <v>0</v>
      </c>
      <c r="O88" s="34"/>
      <c r="P88" s="34"/>
      <c r="Q88" s="38">
        <v>90</v>
      </c>
      <c r="R88" s="49">
        <f t="shared" si="51"/>
        <v>0</v>
      </c>
      <c r="S88" s="34"/>
      <c r="T88" s="34"/>
      <c r="U88" s="38">
        <v>90</v>
      </c>
      <c r="V88" s="49">
        <f t="shared" si="52"/>
        <v>0</v>
      </c>
      <c r="W88" s="34"/>
      <c r="X88" s="34"/>
      <c r="Y88" s="38">
        <v>90</v>
      </c>
      <c r="Z88" s="49">
        <f t="shared" si="53"/>
        <v>0</v>
      </c>
      <c r="AA88" s="34"/>
      <c r="AB88" s="34"/>
      <c r="AC88" s="38">
        <v>90</v>
      </c>
      <c r="AD88" s="49">
        <f t="shared" si="54"/>
        <v>0</v>
      </c>
      <c r="AE88" s="30" t="s">
        <v>153</v>
      </c>
      <c r="AF88" s="43"/>
    </row>
    <row r="89" spans="1:32" ht="135" customHeight="1" x14ac:dyDescent="0.3">
      <c r="A89" s="46" t="s">
        <v>123</v>
      </c>
      <c r="B89" s="47" t="s">
        <v>148</v>
      </c>
      <c r="C89" s="30" t="s">
        <v>149</v>
      </c>
      <c r="D89" s="30" t="s">
        <v>150</v>
      </c>
      <c r="E89" s="48" t="s">
        <v>160</v>
      </c>
      <c r="F89" s="33" t="s">
        <v>161</v>
      </c>
      <c r="G89" s="33">
        <v>2025</v>
      </c>
      <c r="H89" s="34"/>
      <c r="I89" s="34"/>
      <c r="J89" s="38">
        <v>90</v>
      </c>
      <c r="K89" s="34"/>
      <c r="L89" s="34"/>
      <c r="M89" s="38">
        <v>90</v>
      </c>
      <c r="N89" s="49">
        <f t="shared" si="50"/>
        <v>0</v>
      </c>
      <c r="O89" s="34"/>
      <c r="P89" s="34"/>
      <c r="Q89" s="38">
        <v>90</v>
      </c>
      <c r="R89" s="49">
        <f t="shared" si="51"/>
        <v>0</v>
      </c>
      <c r="S89" s="34"/>
      <c r="T89" s="34"/>
      <c r="U89" s="38">
        <v>90</v>
      </c>
      <c r="V89" s="49">
        <f t="shared" si="52"/>
        <v>0</v>
      </c>
      <c r="W89" s="34"/>
      <c r="X89" s="34"/>
      <c r="Y89" s="38">
        <v>90</v>
      </c>
      <c r="Z89" s="49">
        <f t="shared" si="53"/>
        <v>0</v>
      </c>
      <c r="AA89" s="34"/>
      <c r="AB89" s="34"/>
      <c r="AC89" s="38">
        <v>90</v>
      </c>
      <c r="AD89" s="49">
        <f t="shared" si="54"/>
        <v>0</v>
      </c>
      <c r="AE89" s="30" t="s">
        <v>153</v>
      </c>
      <c r="AF89" s="43"/>
    </row>
    <row r="90" spans="1:32" ht="96.75" customHeight="1" x14ac:dyDescent="0.3">
      <c r="A90" s="50" t="s">
        <v>123</v>
      </c>
      <c r="B90" s="51" t="s">
        <v>162</v>
      </c>
      <c r="C90" s="19" t="s">
        <v>163</v>
      </c>
      <c r="D90" s="19" t="s">
        <v>141</v>
      </c>
      <c r="E90" s="52" t="s">
        <v>164</v>
      </c>
      <c r="F90" s="22" t="s">
        <v>19</v>
      </c>
      <c r="G90" s="22">
        <v>2025</v>
      </c>
      <c r="H90" s="23"/>
      <c r="I90" s="23"/>
      <c r="J90" s="24">
        <f>95</f>
        <v>95</v>
      </c>
      <c r="K90" s="23"/>
      <c r="L90" s="23"/>
      <c r="M90" s="24">
        <v>95</v>
      </c>
      <c r="N90" s="53">
        <f t="shared" si="50"/>
        <v>0</v>
      </c>
      <c r="O90" s="23"/>
      <c r="P90" s="23"/>
      <c r="Q90" s="24">
        <v>95</v>
      </c>
      <c r="R90" s="53">
        <f t="shared" si="51"/>
        <v>0</v>
      </c>
      <c r="S90" s="23"/>
      <c r="T90" s="23"/>
      <c r="U90" s="24">
        <v>95</v>
      </c>
      <c r="V90" s="53">
        <f t="shared" si="52"/>
        <v>0</v>
      </c>
      <c r="W90" s="23"/>
      <c r="X90" s="23"/>
      <c r="Y90" s="24">
        <v>95</v>
      </c>
      <c r="Z90" s="53">
        <f t="shared" si="53"/>
        <v>0</v>
      </c>
      <c r="AA90" s="23"/>
      <c r="AB90" s="23"/>
      <c r="AC90" s="24">
        <v>95</v>
      </c>
      <c r="AD90" s="53">
        <f t="shared" si="54"/>
        <v>0</v>
      </c>
      <c r="AE90" s="19" t="s">
        <v>165</v>
      </c>
      <c r="AF90" s="43"/>
    </row>
    <row r="91" spans="1:32" ht="116.25" customHeight="1" x14ac:dyDescent="0.3">
      <c r="A91" s="46" t="s">
        <v>123</v>
      </c>
      <c r="B91" s="47" t="s">
        <v>166</v>
      </c>
      <c r="C91" s="30" t="s">
        <v>167</v>
      </c>
      <c r="D91" s="30" t="s">
        <v>168</v>
      </c>
      <c r="E91" s="48" t="s">
        <v>169</v>
      </c>
      <c r="F91" s="33" t="s">
        <v>170</v>
      </c>
      <c r="G91" s="33">
        <v>2025</v>
      </c>
      <c r="H91" s="34">
        <f>IFERROR(J91/100*I91,"")</f>
        <v>647624.5</v>
      </c>
      <c r="I91" s="34">
        <f>'Spectrum Inputs'!B125</f>
        <v>681710</v>
      </c>
      <c r="J91" s="38">
        <f>95</f>
        <v>95</v>
      </c>
      <c r="K91" s="34">
        <f>IFERROR(M91/100*L91,"")</f>
        <v>653487.9</v>
      </c>
      <c r="L91" s="34">
        <f>'Spectrum Inputs'!C125</f>
        <v>687882</v>
      </c>
      <c r="M91" s="38">
        <f>95</f>
        <v>95</v>
      </c>
      <c r="N91" s="49">
        <f t="shared" si="50"/>
        <v>0</v>
      </c>
      <c r="O91" s="34">
        <f>IFERROR(Q91/100*P91,"")</f>
        <v>662787.44999999995</v>
      </c>
      <c r="P91" s="34">
        <f>'Spectrum Inputs'!D125</f>
        <v>697671</v>
      </c>
      <c r="Q91" s="38">
        <f>95</f>
        <v>95</v>
      </c>
      <c r="R91" s="49">
        <f t="shared" si="51"/>
        <v>0</v>
      </c>
      <c r="S91" s="34">
        <f>IFERROR(U91/100*T91,"")</f>
        <v>670741.79999999993</v>
      </c>
      <c r="T91" s="34">
        <f>'Spectrum Inputs'!E125</f>
        <v>706044</v>
      </c>
      <c r="U91" s="38">
        <f>95</f>
        <v>95</v>
      </c>
      <c r="V91" s="49">
        <f t="shared" si="52"/>
        <v>0</v>
      </c>
      <c r="W91" s="34">
        <f>IFERROR(Y91/100*X91,"")</f>
        <v>680452.7</v>
      </c>
      <c r="X91" s="34">
        <f>'Spectrum Inputs'!F125</f>
        <v>716266</v>
      </c>
      <c r="Y91" s="38">
        <f>95</f>
        <v>95</v>
      </c>
      <c r="Z91" s="49">
        <f t="shared" si="53"/>
        <v>0</v>
      </c>
      <c r="AA91" s="34">
        <f>IFERROR(AC91/100*AB91,"")</f>
        <v>685066.85</v>
      </c>
      <c r="AB91" s="34">
        <f>'Spectrum Inputs'!G125</f>
        <v>721123</v>
      </c>
      <c r="AC91" s="38">
        <f>95</f>
        <v>95</v>
      </c>
      <c r="AD91" s="49">
        <f t="shared" si="54"/>
        <v>0</v>
      </c>
      <c r="AE91" s="30" t="s">
        <v>171</v>
      </c>
      <c r="AF91" s="43"/>
    </row>
    <row r="92" spans="1:32" ht="96.75" customHeight="1" x14ac:dyDescent="0.3">
      <c r="A92" s="50" t="s">
        <v>123</v>
      </c>
      <c r="B92" s="51" t="s">
        <v>172</v>
      </c>
      <c r="C92" s="19" t="s">
        <v>173</v>
      </c>
      <c r="D92" s="19" t="s">
        <v>174</v>
      </c>
      <c r="E92" s="52" t="s">
        <v>175</v>
      </c>
      <c r="F92" s="22" t="s">
        <v>170</v>
      </c>
      <c r="G92" s="22">
        <v>2025</v>
      </c>
      <c r="H92" s="23">
        <f>IFERROR(J92/100*I92,"")</f>
        <v>637484.56000000006</v>
      </c>
      <c r="I92" s="23">
        <v>692918</v>
      </c>
      <c r="J92" s="24">
        <f>92</f>
        <v>92</v>
      </c>
      <c r="K92" s="23">
        <f>IFERROR(M92/100*L92,"")</f>
        <v>658272.1</v>
      </c>
      <c r="L92" s="23">
        <f>I92</f>
        <v>692918</v>
      </c>
      <c r="M92" s="24">
        <f>95</f>
        <v>95</v>
      </c>
      <c r="N92" s="53">
        <f t="shared" si="50"/>
        <v>3.2608695652173912E-2</v>
      </c>
      <c r="O92" s="23">
        <f>IFERROR(Q92/100*P92,"")</f>
        <v>658272.1</v>
      </c>
      <c r="P92" s="23">
        <f>I92</f>
        <v>692918</v>
      </c>
      <c r="Q92" s="24">
        <f>95</f>
        <v>95</v>
      </c>
      <c r="R92" s="53">
        <f t="shared" si="51"/>
        <v>3.2608695652173912E-2</v>
      </c>
      <c r="S92" s="23">
        <f>IFERROR(U92/100*T92,"")</f>
        <v>658272.1</v>
      </c>
      <c r="T92" s="23">
        <f>I92</f>
        <v>692918</v>
      </c>
      <c r="U92" s="24">
        <f>95</f>
        <v>95</v>
      </c>
      <c r="V92" s="53">
        <f t="shared" si="52"/>
        <v>3.2608695652173912E-2</v>
      </c>
      <c r="W92" s="23">
        <f>IFERROR(Y92/100*X92,"")</f>
        <v>658272.1</v>
      </c>
      <c r="X92" s="23">
        <f>I92</f>
        <v>692918</v>
      </c>
      <c r="Y92" s="24">
        <f>95</f>
        <v>95</v>
      </c>
      <c r="Z92" s="53">
        <f t="shared" si="53"/>
        <v>3.2608695652173912E-2</v>
      </c>
      <c r="AA92" s="23">
        <f>IFERROR(AC92/100*AB92,"")</f>
        <v>658272.1</v>
      </c>
      <c r="AB92" s="23">
        <f>I92</f>
        <v>692918</v>
      </c>
      <c r="AC92" s="24">
        <f>95</f>
        <v>95</v>
      </c>
      <c r="AD92" s="53">
        <f t="shared" si="54"/>
        <v>3.2608695652173912E-2</v>
      </c>
      <c r="AE92" s="19" t="s">
        <v>176</v>
      </c>
      <c r="AF92" s="43"/>
    </row>
    <row r="93" spans="1:32" ht="116.25" customHeight="1" x14ac:dyDescent="0.3">
      <c r="A93" s="46" t="s">
        <v>123</v>
      </c>
      <c r="B93" s="47" t="s">
        <v>177</v>
      </c>
      <c r="C93" s="30" t="s">
        <v>178</v>
      </c>
      <c r="D93" s="30" t="s">
        <v>179</v>
      </c>
      <c r="E93" s="48" t="s">
        <v>180</v>
      </c>
      <c r="F93" s="33" t="s">
        <v>181</v>
      </c>
      <c r="G93" s="33">
        <v>2025</v>
      </c>
      <c r="H93" s="34">
        <v>25925</v>
      </c>
      <c r="I93" s="34">
        <v>29358</v>
      </c>
      <c r="J93" s="38">
        <f>IFERROR(H93/I93*100,"")</f>
        <v>88.306424143334013</v>
      </c>
      <c r="K93" s="34">
        <f>IFERROR(M93/100*L93,"")</f>
        <v>25988.199999999997</v>
      </c>
      <c r="L93" s="34">
        <f>'Spectrum Inputs'!C97</f>
        <v>27356</v>
      </c>
      <c r="M93" s="38">
        <f>95</f>
        <v>95</v>
      </c>
      <c r="N93" s="49">
        <f t="shared" si="50"/>
        <v>7.579942140790745E-2</v>
      </c>
      <c r="O93" s="34">
        <f>IFERROR(Q93/100*P93,"")</f>
        <v>24250.649999999998</v>
      </c>
      <c r="P93" s="34">
        <f>'Spectrum Inputs'!D97</f>
        <v>25527</v>
      </c>
      <c r="Q93" s="38">
        <f>95</f>
        <v>95</v>
      </c>
      <c r="R93" s="49">
        <f t="shared" si="51"/>
        <v>7.579942140790745E-2</v>
      </c>
      <c r="S93" s="34">
        <f>IFERROR(U93/100*T93,"")</f>
        <v>22589.1</v>
      </c>
      <c r="T93" s="34">
        <f>'Spectrum Inputs'!E97</f>
        <v>23778</v>
      </c>
      <c r="U93" s="38">
        <f>95</f>
        <v>95</v>
      </c>
      <c r="V93" s="49">
        <f t="shared" si="52"/>
        <v>7.579942140790745E-2</v>
      </c>
      <c r="W93" s="34">
        <f>IFERROR(Y93/100*X93,"")</f>
        <v>21115.649999999998</v>
      </c>
      <c r="X93" s="34">
        <f>'Spectrum Inputs'!F97</f>
        <v>22227</v>
      </c>
      <c r="Y93" s="38">
        <f>95</f>
        <v>95</v>
      </c>
      <c r="Z93" s="49">
        <f t="shared" si="53"/>
        <v>7.579942140790745E-2</v>
      </c>
      <c r="AA93" s="34">
        <f>IFERROR(AC93/100*AB93,"")</f>
        <v>19631.75</v>
      </c>
      <c r="AB93" s="34">
        <f>'Spectrum Inputs'!G97</f>
        <v>20665</v>
      </c>
      <c r="AC93" s="38">
        <f>95</f>
        <v>95</v>
      </c>
      <c r="AD93" s="49">
        <f t="shared" si="54"/>
        <v>7.579942140790745E-2</v>
      </c>
      <c r="AE93" s="30" t="s">
        <v>182</v>
      </c>
      <c r="AF93" s="43"/>
    </row>
    <row r="94" spans="1:32" ht="96.75" customHeight="1" x14ac:dyDescent="0.3">
      <c r="A94" s="50" t="s">
        <v>123</v>
      </c>
      <c r="B94" s="51" t="s">
        <v>183</v>
      </c>
      <c r="C94" s="19" t="s">
        <v>184</v>
      </c>
      <c r="D94" s="19" t="s">
        <v>185</v>
      </c>
      <c r="E94" s="52"/>
      <c r="F94" s="22" t="s">
        <v>19</v>
      </c>
      <c r="G94" s="22">
        <v>2025</v>
      </c>
      <c r="H94" s="23">
        <f>IFERROR(J94/100*I94,"")</f>
        <v>658818.9</v>
      </c>
      <c r="I94" s="23">
        <v>732021</v>
      </c>
      <c r="J94" s="24">
        <f>90</f>
        <v>90</v>
      </c>
      <c r="K94" s="23"/>
      <c r="L94" s="23"/>
      <c r="M94" s="24">
        <f>IFERROR(J94+(95-J94)*1/5,"")</f>
        <v>91</v>
      </c>
      <c r="N94" s="53"/>
      <c r="O94" s="23"/>
      <c r="P94" s="23"/>
      <c r="Q94" s="24">
        <f>IFERROR(J94+(95-J94)*2/5,"")</f>
        <v>92</v>
      </c>
      <c r="R94" s="53"/>
      <c r="S94" s="23"/>
      <c r="T94" s="23"/>
      <c r="U94" s="24">
        <f>IFERROR(J94+(95-J94)*3/5,"")</f>
        <v>93</v>
      </c>
      <c r="V94" s="53"/>
      <c r="W94" s="23"/>
      <c r="X94" s="23"/>
      <c r="Y94" s="24">
        <f>IFERROR(J94+(95-J94)*4/5,"")</f>
        <v>94</v>
      </c>
      <c r="Z94" s="53"/>
      <c r="AA94" s="23"/>
      <c r="AB94" s="23"/>
      <c r="AC94" s="24">
        <f>IFERROR(J94+(95-J94)*5/5,"")</f>
        <v>95</v>
      </c>
      <c r="AD94" s="53"/>
      <c r="AE94" s="19" t="s">
        <v>186</v>
      </c>
      <c r="AF94" s="43"/>
    </row>
    <row r="95" spans="1:32" ht="135" customHeight="1" x14ac:dyDescent="0.3">
      <c r="A95" s="46" t="s">
        <v>123</v>
      </c>
      <c r="B95" s="47" t="s">
        <v>187</v>
      </c>
      <c r="C95" s="30" t="s">
        <v>188</v>
      </c>
      <c r="D95" s="30" t="s">
        <v>189</v>
      </c>
      <c r="E95" s="48" t="s">
        <v>190</v>
      </c>
      <c r="F95" s="33" t="s">
        <v>19</v>
      </c>
      <c r="G95" s="33">
        <v>2025</v>
      </c>
      <c r="H95" s="34">
        <f>IFERROR(J95/100*I95,"")</f>
        <v>32401.468400000002</v>
      </c>
      <c r="I95" s="34">
        <f>'Spectrum Inputs'!B148</f>
        <v>49483</v>
      </c>
      <c r="J95" s="38">
        <f>65.48</f>
        <v>65.48</v>
      </c>
      <c r="K95" s="34">
        <f>IFERROR(M95/100*L95,"")</f>
        <v>35322.94472</v>
      </c>
      <c r="L95" s="34">
        <f>'Spectrum Inputs'!C148</f>
        <v>49483</v>
      </c>
      <c r="M95" s="38">
        <f>IFERROR(J95+(95-J95)*1/5,"")</f>
        <v>71.384</v>
      </c>
      <c r="N95" s="49">
        <f>IFERROR((M95-J95)/J95,"")</f>
        <v>9.016493585827727E-2</v>
      </c>
      <c r="O95" s="34">
        <f>IFERROR(Q95/100*P95,"")</f>
        <v>31820.242480000001</v>
      </c>
      <c r="P95" s="34">
        <f>'Spectrum Inputs'!D148</f>
        <v>41171</v>
      </c>
      <c r="Q95" s="38">
        <f>IFERROR(J95+(95-J95)*2/5,"")</f>
        <v>77.287999999999997</v>
      </c>
      <c r="R95" s="49">
        <f>IFERROR((Q95-J95)/J95,"")</f>
        <v>0.18032987171655454</v>
      </c>
      <c r="S95" s="34">
        <f>IFERROR(U95/100*T95,"")</f>
        <v>33671.130080000003</v>
      </c>
      <c r="T95" s="34">
        <f>'Spectrum Inputs'!E148</f>
        <v>40474</v>
      </c>
      <c r="U95" s="38">
        <f>IFERROR(J95+(95-J95)*3/5,"")</f>
        <v>83.192000000000007</v>
      </c>
      <c r="V95" s="49">
        <f>IFERROR((U95-J95)/J95,"")</f>
        <v>0.27049480757483202</v>
      </c>
      <c r="W95" s="34">
        <f>IFERROR(Y95/100*X95,"")</f>
        <v>36601.527760000004</v>
      </c>
      <c r="X95" s="34">
        <f>'Spectrum Inputs'!F148</f>
        <v>41081</v>
      </c>
      <c r="Y95" s="38">
        <f>IFERROR(J95+(95-J95)*4/5,"")</f>
        <v>89.096000000000004</v>
      </c>
      <c r="Z95" s="49">
        <f>IFERROR((Y95-J95)/J95,"")</f>
        <v>0.3606597434331093</v>
      </c>
      <c r="AA95" s="34">
        <f>IFERROR(AC95/100*AB95,"")</f>
        <v>39165.65</v>
      </c>
      <c r="AB95" s="34">
        <f>'Spectrum Inputs'!G148</f>
        <v>41227</v>
      </c>
      <c r="AC95" s="38">
        <f>IFERROR(J95+(95-J95)*5/5,"")</f>
        <v>95</v>
      </c>
      <c r="AD95" s="49">
        <f>IFERROR((AC95-J95)/J95,"")</f>
        <v>0.45082467929138659</v>
      </c>
      <c r="AE95" s="30" t="s">
        <v>191</v>
      </c>
      <c r="AF95" s="43"/>
    </row>
    <row r="96" spans="1:32" ht="96.75" customHeight="1" x14ac:dyDescent="0.3">
      <c r="A96" s="50" t="s">
        <v>123</v>
      </c>
      <c r="B96" s="51" t="s">
        <v>192</v>
      </c>
      <c r="C96" s="19" t="s">
        <v>193</v>
      </c>
      <c r="D96" s="19" t="s">
        <v>194</v>
      </c>
      <c r="E96" s="52" t="s">
        <v>195</v>
      </c>
      <c r="F96" s="22" t="s">
        <v>19</v>
      </c>
      <c r="G96" s="22">
        <v>2025</v>
      </c>
      <c r="H96" s="23"/>
      <c r="I96" s="23">
        <f>'Spectrum Inputs'!B148</f>
        <v>49483</v>
      </c>
      <c r="J96" s="24"/>
      <c r="K96" s="23"/>
      <c r="L96" s="23">
        <f>'Spectrum Inputs'!C148</f>
        <v>49483</v>
      </c>
      <c r="M96" s="24"/>
      <c r="N96" s="53"/>
      <c r="O96" s="23"/>
      <c r="P96" s="23">
        <f>'Spectrum Inputs'!D148</f>
        <v>41171</v>
      </c>
      <c r="Q96" s="24"/>
      <c r="R96" s="53"/>
      <c r="S96" s="23"/>
      <c r="T96" s="23">
        <f>'Spectrum Inputs'!E148</f>
        <v>40474</v>
      </c>
      <c r="U96" s="24"/>
      <c r="V96" s="53"/>
      <c r="W96" s="23"/>
      <c r="X96" s="23">
        <f>'Spectrum Inputs'!F148</f>
        <v>41081</v>
      </c>
      <c r="Y96" s="24"/>
      <c r="Z96" s="53"/>
      <c r="AA96" s="23"/>
      <c r="AB96" s="23">
        <f>'Spectrum Inputs'!G148</f>
        <v>41227</v>
      </c>
      <c r="AC96" s="24"/>
      <c r="AD96" s="53"/>
      <c r="AE96" s="19" t="s">
        <v>196</v>
      </c>
      <c r="AF96" s="43"/>
    </row>
    <row r="97" spans="1:32" ht="193.5" customHeight="1" x14ac:dyDescent="0.3">
      <c r="A97" s="46" t="s">
        <v>123</v>
      </c>
      <c r="B97" s="47" t="s">
        <v>197</v>
      </c>
      <c r="C97" s="30" t="s">
        <v>198</v>
      </c>
      <c r="D97" s="30" t="s">
        <v>194</v>
      </c>
      <c r="E97" s="48" t="s">
        <v>199</v>
      </c>
      <c r="F97" s="33" t="s">
        <v>19</v>
      </c>
      <c r="G97" s="33">
        <v>2025</v>
      </c>
      <c r="H97" s="34">
        <f>IFERROR(J97/100*I97,"")</f>
        <v>29689.8</v>
      </c>
      <c r="I97" s="34">
        <f>'Spectrum Inputs'!B148</f>
        <v>49483</v>
      </c>
      <c r="J97" s="38">
        <f>60</f>
        <v>60</v>
      </c>
      <c r="K97" s="34">
        <f>IFERROR(M97/100*L97,"")</f>
        <v>33153.61</v>
      </c>
      <c r="L97" s="34">
        <f>'Spectrum Inputs'!C148</f>
        <v>49483</v>
      </c>
      <c r="M97" s="38">
        <f>IFERROR(J97+(95-J97)*1/5,"")</f>
        <v>67</v>
      </c>
      <c r="N97" s="49">
        <f>IFERROR((M97-J97)/J97,"")</f>
        <v>0.11666666666666667</v>
      </c>
      <c r="O97" s="34">
        <f>IFERROR(Q97/100*P97,"")</f>
        <v>30466.54</v>
      </c>
      <c r="P97" s="34">
        <f>'Spectrum Inputs'!D148</f>
        <v>41171</v>
      </c>
      <c r="Q97" s="38">
        <f>IFERROR(J97+(95-J97)*2/5,"")</f>
        <v>74</v>
      </c>
      <c r="R97" s="49">
        <f>IFERROR((Q97-J97)/J97,"")</f>
        <v>0.23333333333333334</v>
      </c>
      <c r="S97" s="34">
        <f>IFERROR(U97/100*T97,"")</f>
        <v>32783.94</v>
      </c>
      <c r="T97" s="34">
        <f>'Spectrum Inputs'!E148</f>
        <v>40474</v>
      </c>
      <c r="U97" s="38">
        <f>IFERROR(J97+(95-J97)*3/5,"")</f>
        <v>81</v>
      </c>
      <c r="V97" s="49">
        <f>IFERROR((U97-J97)/J97,"")</f>
        <v>0.35</v>
      </c>
      <c r="W97" s="34">
        <f>IFERROR(Y97/100*X97,"")</f>
        <v>36151.279999999999</v>
      </c>
      <c r="X97" s="34">
        <f>'Spectrum Inputs'!F148</f>
        <v>41081</v>
      </c>
      <c r="Y97" s="38">
        <f>IFERROR(J97+(95-J97)*4/5,"")</f>
        <v>88</v>
      </c>
      <c r="Z97" s="49">
        <f>IFERROR((Y97-J97)/J97,"")</f>
        <v>0.46666666666666667</v>
      </c>
      <c r="AA97" s="34">
        <f>IFERROR(AC97/100*AB97,"")</f>
        <v>39165.65</v>
      </c>
      <c r="AB97" s="34">
        <f>'Spectrum Inputs'!G148</f>
        <v>41227</v>
      </c>
      <c r="AC97" s="38">
        <f>IFERROR(J97+(95-J97)*5/5,"")</f>
        <v>95</v>
      </c>
      <c r="AD97" s="49">
        <f>IFERROR((AC97-J97)/J97,"")</f>
        <v>0.58333333333333337</v>
      </c>
      <c r="AE97" s="30" t="s">
        <v>200</v>
      </c>
      <c r="AF97" s="43"/>
    </row>
  </sheetData>
  <autoFilter ref="A3:AE97" xr:uid="{00000000-0009-0000-0000-000001000000}">
    <filterColumn colId="0">
      <filters>
        <filter val="Coverage"/>
      </filters>
    </filterColumn>
  </autoFilter>
  <mergeCells count="17">
    <mergeCell ref="AE1:AE3"/>
    <mergeCell ref="H2:J2"/>
    <mergeCell ref="K2:N2"/>
    <mergeCell ref="O2:R2"/>
    <mergeCell ref="S2:V2"/>
    <mergeCell ref="W2:Z2"/>
    <mergeCell ref="AA2:AD2"/>
    <mergeCell ref="K1:N1"/>
    <mergeCell ref="O1:R1"/>
    <mergeCell ref="S1:V1"/>
    <mergeCell ref="W1:Z1"/>
    <mergeCell ref="AA1:AD1"/>
    <mergeCell ref="A1:A3"/>
    <mergeCell ref="B1:B3"/>
    <mergeCell ref="C1:C3"/>
    <mergeCell ref="D1:D3"/>
    <mergeCell ref="G1:J1"/>
  </mergeCells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8"/>
  <sheetViews>
    <sheetView zoomScaleNormal="100" workbookViewId="0"/>
  </sheetViews>
  <sheetFormatPr defaultColWidth="8.6328125" defaultRowHeight="14.5" x14ac:dyDescent="0.35"/>
  <cols>
    <col min="1" max="1" width="135" style="57" customWidth="1"/>
  </cols>
  <sheetData>
    <row r="1" spans="1:1" ht="15" customHeight="1" x14ac:dyDescent="0.35">
      <c r="A1" s="58" t="s">
        <v>201</v>
      </c>
    </row>
    <row r="2" spans="1:1" ht="15" customHeight="1" x14ac:dyDescent="0.35">
      <c r="A2" s="58"/>
    </row>
    <row r="3" spans="1:1" ht="15" customHeight="1" x14ac:dyDescent="0.35">
      <c r="A3" s="58" t="s">
        <v>202</v>
      </c>
    </row>
    <row r="4" spans="1:1" ht="15" customHeight="1" x14ac:dyDescent="0.35">
      <c r="A4" s="58"/>
    </row>
    <row r="5" spans="1:1" ht="15" customHeight="1" x14ac:dyDescent="0.35">
      <c r="A5" s="58" t="s">
        <v>203</v>
      </c>
    </row>
    <row r="6" spans="1:1" ht="27.75" customHeight="1" x14ac:dyDescent="0.35">
      <c r="A6" s="58" t="s">
        <v>204</v>
      </c>
    </row>
    <row r="7" spans="1:1" ht="27.75" customHeight="1" x14ac:dyDescent="0.35">
      <c r="A7" s="58" t="s">
        <v>205</v>
      </c>
    </row>
    <row r="8" spans="1:1" ht="27.75" customHeight="1" x14ac:dyDescent="0.35">
      <c r="A8" s="58" t="s">
        <v>206</v>
      </c>
    </row>
    <row r="9" spans="1:1" ht="15" customHeight="1" x14ac:dyDescent="0.35">
      <c r="A9" s="58" t="s">
        <v>207</v>
      </c>
    </row>
    <row r="10" spans="1:1" ht="15" customHeight="1" x14ac:dyDescent="0.35">
      <c r="A10" s="58"/>
    </row>
    <row r="11" spans="1:1" ht="15" customHeight="1" x14ac:dyDescent="0.35">
      <c r="A11" s="58"/>
    </row>
    <row r="12" spans="1:1" ht="15" customHeight="1" x14ac:dyDescent="0.35">
      <c r="A12" s="58" t="s">
        <v>208</v>
      </c>
    </row>
    <row r="13" spans="1:1" ht="15" customHeight="1" x14ac:dyDescent="0.35">
      <c r="A13" s="58"/>
    </row>
    <row r="14" spans="1:1" ht="15" customHeight="1" x14ac:dyDescent="0.35">
      <c r="A14" s="58" t="s">
        <v>209</v>
      </c>
    </row>
    <row r="15" spans="1:1" ht="27.75" customHeight="1" x14ac:dyDescent="0.35">
      <c r="A15" s="58" t="s">
        <v>210</v>
      </c>
    </row>
    <row r="16" spans="1:1" ht="15" customHeight="1" x14ac:dyDescent="0.35">
      <c r="A16" s="58" t="s">
        <v>211</v>
      </c>
    </row>
    <row r="17" spans="1:1" ht="27.75" customHeight="1" x14ac:dyDescent="0.35">
      <c r="A17" s="58" t="s">
        <v>212</v>
      </c>
    </row>
    <row r="18" spans="1:1" ht="15" customHeight="1" x14ac:dyDescent="0.35">
      <c r="A18" s="58"/>
    </row>
    <row r="19" spans="1:1" ht="15" customHeight="1" x14ac:dyDescent="0.35">
      <c r="A19" s="58"/>
    </row>
    <row r="20" spans="1:1" ht="15" customHeight="1" x14ac:dyDescent="0.35">
      <c r="A20" s="58" t="s">
        <v>213</v>
      </c>
    </row>
    <row r="21" spans="1:1" ht="15" customHeight="1" x14ac:dyDescent="0.35">
      <c r="A21" s="58"/>
    </row>
    <row r="22" spans="1:1" ht="15" customHeight="1" x14ac:dyDescent="0.35">
      <c r="A22" s="58" t="s">
        <v>214</v>
      </c>
    </row>
    <row r="23" spans="1:1" ht="15" customHeight="1" x14ac:dyDescent="0.35">
      <c r="A23" s="58" t="s">
        <v>215</v>
      </c>
    </row>
    <row r="24" spans="1:1" ht="15" customHeight="1" x14ac:dyDescent="0.35">
      <c r="A24" s="58" t="s">
        <v>216</v>
      </c>
    </row>
    <row r="25" spans="1:1" ht="15" customHeight="1" x14ac:dyDescent="0.35">
      <c r="A25" s="58" t="s">
        <v>217</v>
      </c>
    </row>
    <row r="26" spans="1:1" ht="15" customHeight="1" x14ac:dyDescent="0.35">
      <c r="A26" s="58"/>
    </row>
    <row r="27" spans="1:1" ht="15" customHeight="1" x14ac:dyDescent="0.35">
      <c r="A27" s="58"/>
    </row>
    <row r="28" spans="1:1" ht="15" customHeight="1" x14ac:dyDescent="0.35">
      <c r="A28" s="58" t="s">
        <v>218</v>
      </c>
    </row>
    <row r="29" spans="1:1" ht="15" customHeight="1" x14ac:dyDescent="0.35">
      <c r="A29" s="58"/>
    </row>
    <row r="30" spans="1:1" ht="15" customHeight="1" x14ac:dyDescent="0.35">
      <c r="A30" s="58" t="s">
        <v>219</v>
      </c>
    </row>
    <row r="31" spans="1:1" ht="15" customHeight="1" x14ac:dyDescent="0.35">
      <c r="A31" s="58" t="s">
        <v>220</v>
      </c>
    </row>
    <row r="32" spans="1:1" ht="15" customHeight="1" x14ac:dyDescent="0.35">
      <c r="A32" s="58" t="s">
        <v>221</v>
      </c>
    </row>
    <row r="33" spans="1:1" ht="15" customHeight="1" x14ac:dyDescent="0.35">
      <c r="A33" s="58" t="s">
        <v>222</v>
      </c>
    </row>
    <row r="34" spans="1:1" ht="15" customHeight="1" x14ac:dyDescent="0.35">
      <c r="A34" s="58"/>
    </row>
    <row r="35" spans="1:1" ht="15" customHeight="1" x14ac:dyDescent="0.35">
      <c r="A35" s="58"/>
    </row>
    <row r="36" spans="1:1" ht="15" customHeight="1" x14ac:dyDescent="0.35">
      <c r="A36" s="59" t="s">
        <v>223</v>
      </c>
    </row>
    <row r="37" spans="1:1" ht="15" customHeight="1" x14ac:dyDescent="0.35">
      <c r="A37" s="58"/>
    </row>
    <row r="38" spans="1:1" ht="27.75" customHeight="1" x14ac:dyDescent="0.35">
      <c r="A38" s="58" t="s">
        <v>224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5" sqref="B5:G14"/>
    </sheetView>
  </sheetViews>
  <sheetFormatPr defaultColWidth="8.6328125" defaultRowHeight="14.5" x14ac:dyDescent="0.35"/>
  <cols>
    <col min="1" max="1" width="55" style="57" customWidth="1"/>
    <col min="2" max="8" width="13" style="57" customWidth="1"/>
  </cols>
  <sheetData>
    <row r="1" spans="1:7" ht="15.75" customHeight="1" x14ac:dyDescent="0.4">
      <c r="A1" s="60" t="s">
        <v>225</v>
      </c>
    </row>
    <row r="3" spans="1:7" ht="15" customHeight="1" x14ac:dyDescent="0.35">
      <c r="A3" s="61" t="s">
        <v>226</v>
      </c>
    </row>
    <row r="4" spans="1:7" ht="15" customHeight="1" x14ac:dyDescent="0.35">
      <c r="A4" s="62" t="s">
        <v>8</v>
      </c>
      <c r="B4" s="62">
        <v>2025</v>
      </c>
      <c r="C4" s="62">
        <v>2026</v>
      </c>
      <c r="D4" s="62">
        <v>2027</v>
      </c>
      <c r="E4" s="62">
        <v>2028</v>
      </c>
      <c r="F4" s="62">
        <v>2029</v>
      </c>
      <c r="G4" s="62">
        <v>2030</v>
      </c>
    </row>
    <row r="5" spans="1:7" ht="15" customHeight="1" x14ac:dyDescent="0.35">
      <c r="A5" s="63" t="s">
        <v>19</v>
      </c>
      <c r="B5" s="63">
        <v>22382444</v>
      </c>
      <c r="C5" s="63">
        <v>22950681</v>
      </c>
      <c r="D5" s="63">
        <v>23528994</v>
      </c>
      <c r="E5" s="63">
        <v>24112115</v>
      </c>
      <c r="F5" s="63">
        <v>24711970</v>
      </c>
      <c r="G5" s="63">
        <v>25310548</v>
      </c>
    </row>
    <row r="6" spans="1:7" ht="15" customHeight="1" x14ac:dyDescent="0.35">
      <c r="A6" s="63" t="s">
        <v>21</v>
      </c>
      <c r="B6" s="63">
        <v>3195757</v>
      </c>
      <c r="C6" s="63">
        <v>3243142</v>
      </c>
      <c r="D6" s="63">
        <v>3291453</v>
      </c>
      <c r="E6" s="63">
        <v>3338532</v>
      </c>
      <c r="F6" s="63">
        <v>3385254</v>
      </c>
      <c r="G6" s="63">
        <v>3426448</v>
      </c>
    </row>
    <row r="7" spans="1:7" ht="15" customHeight="1" x14ac:dyDescent="0.35">
      <c r="A7" s="63" t="s">
        <v>22</v>
      </c>
      <c r="B7" s="63">
        <v>5744654</v>
      </c>
      <c r="C7" s="63">
        <v>5801465</v>
      </c>
      <c r="D7" s="63">
        <v>5864445</v>
      </c>
      <c r="E7" s="63">
        <v>5929584</v>
      </c>
      <c r="F7" s="63">
        <v>6007105</v>
      </c>
      <c r="G7" s="63">
        <v>6095185</v>
      </c>
    </row>
    <row r="8" spans="1:7" ht="15" customHeight="1" x14ac:dyDescent="0.35">
      <c r="A8" s="63" t="s">
        <v>23</v>
      </c>
      <c r="B8" s="63">
        <v>13442033</v>
      </c>
      <c r="C8" s="63">
        <v>13906074</v>
      </c>
      <c r="D8" s="63">
        <v>14373096</v>
      </c>
      <c r="E8" s="63">
        <v>14843999</v>
      </c>
      <c r="F8" s="63">
        <v>15319611</v>
      </c>
      <c r="G8" s="63">
        <v>15788915</v>
      </c>
    </row>
    <row r="9" spans="1:7" ht="15" customHeight="1" x14ac:dyDescent="0.35">
      <c r="A9" s="63" t="s">
        <v>24</v>
      </c>
      <c r="B9" s="63">
        <v>11419581</v>
      </c>
      <c r="C9" s="63">
        <v>11706783</v>
      </c>
      <c r="D9" s="63">
        <v>11999216</v>
      </c>
      <c r="E9" s="63">
        <v>12294348</v>
      </c>
      <c r="F9" s="63">
        <v>12597774</v>
      </c>
      <c r="G9" s="63">
        <v>12900866</v>
      </c>
    </row>
    <row r="10" spans="1:7" ht="15" customHeight="1" x14ac:dyDescent="0.35">
      <c r="A10" s="63" t="s">
        <v>25</v>
      </c>
      <c r="B10" s="63">
        <v>10962864</v>
      </c>
      <c r="C10" s="63">
        <v>11243897</v>
      </c>
      <c r="D10" s="63">
        <v>11529779</v>
      </c>
      <c r="E10" s="63">
        <v>11817768</v>
      </c>
      <c r="F10" s="63">
        <v>12114196</v>
      </c>
      <c r="G10" s="63">
        <v>12409685</v>
      </c>
    </row>
    <row r="11" spans="1:7" ht="15" customHeight="1" x14ac:dyDescent="0.35">
      <c r="A11" s="63" t="s">
        <v>26</v>
      </c>
      <c r="B11" s="63">
        <v>1330397</v>
      </c>
      <c r="C11" s="63">
        <v>1353435</v>
      </c>
      <c r="D11" s="63">
        <v>1371236</v>
      </c>
      <c r="E11" s="63">
        <v>1386218</v>
      </c>
      <c r="F11" s="63">
        <v>1396856</v>
      </c>
      <c r="G11" s="63">
        <v>1404326</v>
      </c>
    </row>
    <row r="12" spans="1:7" ht="15" customHeight="1" x14ac:dyDescent="0.35">
      <c r="A12" s="63" t="s">
        <v>27</v>
      </c>
      <c r="B12" s="63">
        <v>1126696</v>
      </c>
      <c r="C12" s="63">
        <v>1170408</v>
      </c>
      <c r="D12" s="63">
        <v>1213519</v>
      </c>
      <c r="E12" s="63">
        <v>1253971</v>
      </c>
      <c r="F12" s="63">
        <v>1289970</v>
      </c>
      <c r="G12" s="63">
        <v>1318466</v>
      </c>
    </row>
    <row r="13" spans="1:7" ht="15" customHeight="1" x14ac:dyDescent="0.35">
      <c r="A13" s="63" t="s">
        <v>28</v>
      </c>
      <c r="B13" s="63">
        <v>1310146</v>
      </c>
      <c r="C13" s="63">
        <v>1334948</v>
      </c>
      <c r="D13" s="63">
        <v>1354681</v>
      </c>
      <c r="E13" s="63">
        <v>1372027</v>
      </c>
      <c r="F13" s="63">
        <v>1385244</v>
      </c>
      <c r="G13" s="63">
        <v>1395124</v>
      </c>
    </row>
    <row r="14" spans="1:7" ht="15" customHeight="1" x14ac:dyDescent="0.35">
      <c r="A14" s="63" t="s">
        <v>29</v>
      </c>
      <c r="B14" s="63">
        <v>1103171</v>
      </c>
      <c r="C14" s="63">
        <v>1145142</v>
      </c>
      <c r="D14" s="63">
        <v>1187140</v>
      </c>
      <c r="E14" s="63">
        <v>1226922</v>
      </c>
      <c r="F14" s="63">
        <v>1263077</v>
      </c>
      <c r="G14" s="63">
        <v>1292620</v>
      </c>
    </row>
    <row r="17" spans="1:7" ht="15" customHeight="1" x14ac:dyDescent="0.35">
      <c r="A17" s="61" t="s">
        <v>227</v>
      </c>
    </row>
    <row r="18" spans="1:7" ht="15" customHeight="1" x14ac:dyDescent="0.35">
      <c r="A18" s="62" t="s">
        <v>8</v>
      </c>
      <c r="B18" s="62">
        <v>2025</v>
      </c>
      <c r="C18" s="62">
        <v>2026</v>
      </c>
      <c r="D18" s="62">
        <v>2027</v>
      </c>
      <c r="E18" s="62">
        <v>2028</v>
      </c>
      <c r="F18" s="62">
        <v>2029</v>
      </c>
      <c r="G18" s="62">
        <v>2030</v>
      </c>
    </row>
    <row r="19" spans="1:7" ht="15" customHeight="1" x14ac:dyDescent="0.35">
      <c r="A19" s="63" t="s">
        <v>19</v>
      </c>
      <c r="B19" s="63">
        <v>1006960</v>
      </c>
      <c r="C19" s="63">
        <v>1000821</v>
      </c>
      <c r="D19" s="63">
        <v>994527</v>
      </c>
      <c r="E19" s="63">
        <v>988232</v>
      </c>
      <c r="F19" s="63">
        <v>982367</v>
      </c>
      <c r="G19" s="63">
        <v>976493</v>
      </c>
    </row>
    <row r="20" spans="1:7" ht="15" customHeight="1" x14ac:dyDescent="0.35">
      <c r="A20" s="63" t="s">
        <v>21</v>
      </c>
      <c r="B20" s="63">
        <v>7076</v>
      </c>
      <c r="C20" s="63">
        <v>6349</v>
      </c>
      <c r="D20" s="63">
        <v>5588</v>
      </c>
      <c r="E20" s="63">
        <v>5215</v>
      </c>
      <c r="F20" s="63">
        <v>4932</v>
      </c>
      <c r="G20" s="63">
        <v>4684</v>
      </c>
    </row>
    <row r="21" spans="1:7" ht="15" customHeight="1" x14ac:dyDescent="0.35">
      <c r="A21" s="63" t="s">
        <v>22</v>
      </c>
      <c r="B21" s="63">
        <v>35041</v>
      </c>
      <c r="C21" s="63">
        <v>30558</v>
      </c>
      <c r="D21" s="63">
        <v>26527</v>
      </c>
      <c r="E21" s="63">
        <v>22780</v>
      </c>
      <c r="F21" s="63">
        <v>19560</v>
      </c>
      <c r="G21" s="63">
        <v>17038</v>
      </c>
    </row>
    <row r="22" spans="1:7" ht="15" customHeight="1" x14ac:dyDescent="0.35">
      <c r="A22" s="63" t="s">
        <v>23</v>
      </c>
      <c r="B22" s="63">
        <v>964843</v>
      </c>
      <c r="C22" s="63">
        <v>963914</v>
      </c>
      <c r="D22" s="63">
        <v>962412</v>
      </c>
      <c r="E22" s="63">
        <v>960237</v>
      </c>
      <c r="F22" s="63">
        <v>957875</v>
      </c>
      <c r="G22" s="63">
        <v>954771</v>
      </c>
    </row>
    <row r="23" spans="1:7" ht="15" customHeight="1" x14ac:dyDescent="0.35">
      <c r="A23" s="63" t="s">
        <v>24</v>
      </c>
      <c r="B23" s="63">
        <v>646519</v>
      </c>
      <c r="C23" s="63">
        <v>644553</v>
      </c>
      <c r="D23" s="63">
        <v>642448</v>
      </c>
      <c r="E23" s="63">
        <v>640331</v>
      </c>
      <c r="F23" s="63">
        <v>638449</v>
      </c>
      <c r="G23" s="63">
        <v>636518</v>
      </c>
    </row>
    <row r="24" spans="1:7" ht="15" customHeight="1" x14ac:dyDescent="0.35">
      <c r="A24" s="63" t="s">
        <v>25</v>
      </c>
      <c r="B24" s="63">
        <v>360439</v>
      </c>
      <c r="C24" s="63">
        <v>356269</v>
      </c>
      <c r="D24" s="63">
        <v>352082</v>
      </c>
      <c r="E24" s="63">
        <v>347899</v>
      </c>
      <c r="F24" s="63">
        <v>343919</v>
      </c>
      <c r="G24" s="63">
        <v>339977</v>
      </c>
    </row>
    <row r="25" spans="1:7" ht="15" customHeight="1" x14ac:dyDescent="0.35">
      <c r="A25" s="63" t="s">
        <v>26</v>
      </c>
      <c r="B25" s="63">
        <v>20912</v>
      </c>
      <c r="C25" s="63">
        <v>19681</v>
      </c>
      <c r="D25" s="63">
        <v>18480</v>
      </c>
      <c r="E25" s="63">
        <v>17321</v>
      </c>
      <c r="F25" s="63">
        <v>16052</v>
      </c>
      <c r="G25" s="63">
        <v>14586</v>
      </c>
    </row>
    <row r="26" spans="1:7" ht="15" customHeight="1" x14ac:dyDescent="0.35">
      <c r="A26" s="63" t="s">
        <v>27</v>
      </c>
      <c r="B26" s="63">
        <v>34238</v>
      </c>
      <c r="C26" s="63">
        <v>32669</v>
      </c>
      <c r="D26" s="63">
        <v>31337</v>
      </c>
      <c r="E26" s="63">
        <v>30050</v>
      </c>
      <c r="F26" s="63">
        <v>28891</v>
      </c>
      <c r="G26" s="63">
        <v>27827</v>
      </c>
    </row>
    <row r="27" spans="1:7" ht="15" customHeight="1" x14ac:dyDescent="0.35">
      <c r="A27" s="63" t="s">
        <v>28</v>
      </c>
      <c r="B27" s="63">
        <v>15860</v>
      </c>
      <c r="C27" s="63">
        <v>15059</v>
      </c>
      <c r="D27" s="63">
        <v>14224</v>
      </c>
      <c r="E27" s="63">
        <v>13344</v>
      </c>
      <c r="F27" s="63">
        <v>12283</v>
      </c>
      <c r="G27" s="63">
        <v>10952</v>
      </c>
    </row>
    <row r="28" spans="1:7" ht="15" customHeight="1" x14ac:dyDescent="0.35">
      <c r="A28" s="63" t="s">
        <v>29</v>
      </c>
      <c r="B28" s="63">
        <v>17999</v>
      </c>
      <c r="C28" s="63">
        <v>17773</v>
      </c>
      <c r="D28" s="63">
        <v>17526</v>
      </c>
      <c r="E28" s="63">
        <v>17118</v>
      </c>
      <c r="F28" s="63">
        <v>16688</v>
      </c>
      <c r="G28" s="63">
        <v>16241</v>
      </c>
    </row>
    <row r="31" spans="1:7" ht="15" customHeight="1" x14ac:dyDescent="0.35">
      <c r="A31" s="61" t="s">
        <v>228</v>
      </c>
    </row>
    <row r="32" spans="1:7" ht="15" customHeight="1" x14ac:dyDescent="0.35">
      <c r="A32" s="62" t="s">
        <v>8</v>
      </c>
      <c r="B32" s="62">
        <v>2025</v>
      </c>
      <c r="C32" s="62">
        <v>2026</v>
      </c>
      <c r="D32" s="62">
        <v>2027</v>
      </c>
      <c r="E32" s="62">
        <v>2028</v>
      </c>
      <c r="F32" s="62">
        <v>2029</v>
      </c>
      <c r="G32" s="62">
        <v>2030</v>
      </c>
    </row>
    <row r="33" spans="1:7" ht="15" customHeight="1" x14ac:dyDescent="0.35">
      <c r="A33" s="63" t="s">
        <v>19</v>
      </c>
      <c r="B33" s="63">
        <v>896939</v>
      </c>
      <c r="C33" s="63">
        <v>906216</v>
      </c>
      <c r="D33" s="63">
        <v>906955</v>
      </c>
      <c r="E33" s="63">
        <v>907010</v>
      </c>
      <c r="F33" s="63">
        <v>907654</v>
      </c>
      <c r="G33" s="63">
        <v>908381</v>
      </c>
    </row>
    <row r="34" spans="1:7" ht="15" customHeight="1" x14ac:dyDescent="0.35">
      <c r="A34" s="63" t="s">
        <v>21</v>
      </c>
      <c r="B34" s="63">
        <v>3782</v>
      </c>
      <c r="C34" s="63">
        <v>4693</v>
      </c>
      <c r="D34" s="63">
        <v>4767</v>
      </c>
      <c r="E34" s="63">
        <v>4651</v>
      </c>
      <c r="F34" s="63">
        <v>4526</v>
      </c>
      <c r="G34" s="63">
        <v>4395</v>
      </c>
    </row>
    <row r="35" spans="1:7" ht="15" customHeight="1" x14ac:dyDescent="0.35">
      <c r="A35" s="63" t="s">
        <v>22</v>
      </c>
      <c r="B35" s="63">
        <v>24414</v>
      </c>
      <c r="C35" s="63">
        <v>23553</v>
      </c>
      <c r="D35" s="63">
        <v>20840</v>
      </c>
      <c r="E35" s="63">
        <v>18393</v>
      </c>
      <c r="F35" s="63">
        <v>16338</v>
      </c>
      <c r="G35" s="63">
        <v>14756</v>
      </c>
    </row>
    <row r="36" spans="1:7" ht="15" customHeight="1" x14ac:dyDescent="0.35">
      <c r="A36" s="63" t="s">
        <v>23</v>
      </c>
      <c r="B36" s="63">
        <v>868743</v>
      </c>
      <c r="C36" s="63">
        <v>877970</v>
      </c>
      <c r="D36" s="63">
        <v>881348</v>
      </c>
      <c r="E36" s="63">
        <v>883966</v>
      </c>
      <c r="F36" s="63">
        <v>886790</v>
      </c>
      <c r="G36" s="63">
        <v>889230</v>
      </c>
    </row>
    <row r="37" spans="1:7" ht="15" customHeight="1" x14ac:dyDescent="0.35">
      <c r="A37" s="63" t="s">
        <v>24</v>
      </c>
      <c r="B37" s="63">
        <v>586324</v>
      </c>
      <c r="C37" s="63">
        <v>594766</v>
      </c>
      <c r="D37" s="63">
        <v>595597</v>
      </c>
      <c r="E37" s="63">
        <v>596035</v>
      </c>
      <c r="F37" s="63">
        <v>596845</v>
      </c>
      <c r="G37" s="63">
        <v>597813</v>
      </c>
    </row>
    <row r="38" spans="1:7" ht="15" customHeight="1" x14ac:dyDescent="0.35">
      <c r="A38" s="63" t="s">
        <v>25</v>
      </c>
      <c r="B38" s="63">
        <v>310615</v>
      </c>
      <c r="C38" s="63">
        <v>311452</v>
      </c>
      <c r="D38" s="63">
        <v>311360</v>
      </c>
      <c r="E38" s="63">
        <v>310976</v>
      </c>
      <c r="F38" s="63">
        <v>310812</v>
      </c>
      <c r="G38" s="63">
        <v>310570</v>
      </c>
    </row>
    <row r="39" spans="1:7" ht="15" customHeight="1" x14ac:dyDescent="0.35">
      <c r="A39" s="63" t="s">
        <v>26</v>
      </c>
      <c r="B39" s="63">
        <v>17136</v>
      </c>
      <c r="C39" s="63">
        <v>16627</v>
      </c>
      <c r="D39" s="63">
        <v>15692</v>
      </c>
      <c r="E39" s="63">
        <v>14794</v>
      </c>
      <c r="F39" s="63">
        <v>13798</v>
      </c>
      <c r="G39" s="63">
        <v>12585</v>
      </c>
    </row>
    <row r="40" spans="1:7" ht="15" customHeight="1" x14ac:dyDescent="0.35">
      <c r="A40" s="63" t="s">
        <v>27</v>
      </c>
      <c r="B40" s="63">
        <v>28743</v>
      </c>
      <c r="C40" s="63">
        <v>28142</v>
      </c>
      <c r="D40" s="63">
        <v>27162</v>
      </c>
      <c r="E40" s="63">
        <v>26149</v>
      </c>
      <c r="F40" s="63">
        <v>25260</v>
      </c>
      <c r="G40" s="63">
        <v>24460</v>
      </c>
    </row>
    <row r="41" spans="1:7" ht="15" customHeight="1" x14ac:dyDescent="0.35">
      <c r="A41" s="63" t="s">
        <v>28</v>
      </c>
      <c r="B41" s="63">
        <v>13348</v>
      </c>
      <c r="C41" s="63">
        <v>12780</v>
      </c>
      <c r="D41" s="63">
        <v>12204</v>
      </c>
      <c r="E41" s="63">
        <v>11627</v>
      </c>
      <c r="F41" s="63">
        <v>10887</v>
      </c>
      <c r="G41" s="63">
        <v>9859</v>
      </c>
    </row>
    <row r="42" spans="1:7" ht="15" customHeight="1" x14ac:dyDescent="0.35">
      <c r="A42" s="63" t="s">
        <v>29</v>
      </c>
      <c r="B42" s="63">
        <v>14752</v>
      </c>
      <c r="C42" s="63">
        <v>14740</v>
      </c>
      <c r="D42" s="63">
        <v>14734</v>
      </c>
      <c r="E42" s="63">
        <v>14560</v>
      </c>
      <c r="F42" s="63">
        <v>14364</v>
      </c>
      <c r="G42" s="63">
        <v>14145</v>
      </c>
    </row>
    <row r="45" spans="1:7" ht="15" customHeight="1" x14ac:dyDescent="0.35">
      <c r="A45" s="61" t="s">
        <v>229</v>
      </c>
    </row>
    <row r="46" spans="1:7" ht="15" customHeight="1" x14ac:dyDescent="0.35">
      <c r="A46" s="62" t="s">
        <v>8</v>
      </c>
      <c r="B46" s="62">
        <v>2025</v>
      </c>
      <c r="C46" s="62">
        <v>2026</v>
      </c>
      <c r="D46" s="62">
        <v>2027</v>
      </c>
      <c r="E46" s="62">
        <v>2028</v>
      </c>
      <c r="F46" s="62">
        <v>2029</v>
      </c>
      <c r="G46" s="62">
        <v>2030</v>
      </c>
    </row>
    <row r="47" spans="1:7" ht="15" customHeight="1" x14ac:dyDescent="0.35">
      <c r="A47" s="63" t="s">
        <v>19</v>
      </c>
      <c r="B47" s="63">
        <v>14225</v>
      </c>
      <c r="C47" s="63">
        <v>12993</v>
      </c>
      <c r="D47" s="63">
        <v>12536</v>
      </c>
      <c r="E47" s="63">
        <v>12388</v>
      </c>
      <c r="F47" s="63">
        <v>12354</v>
      </c>
      <c r="G47" s="63">
        <v>12496</v>
      </c>
    </row>
    <row r="48" spans="1:7" ht="15" customHeight="1" x14ac:dyDescent="0.35">
      <c r="A48" s="63" t="s">
        <v>21</v>
      </c>
      <c r="B48" s="63">
        <v>1734</v>
      </c>
      <c r="C48" s="63">
        <v>1428</v>
      </c>
      <c r="D48" s="63">
        <v>1338</v>
      </c>
      <c r="E48" s="63">
        <v>1264</v>
      </c>
      <c r="F48" s="63">
        <v>1204</v>
      </c>
      <c r="G48" s="63">
        <v>1149</v>
      </c>
    </row>
    <row r="49" spans="1:7" ht="15" customHeight="1" x14ac:dyDescent="0.35">
      <c r="A49" s="63" t="s">
        <v>22</v>
      </c>
      <c r="B49" s="63">
        <v>0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</row>
    <row r="50" spans="1:7" ht="15" customHeight="1" x14ac:dyDescent="0.35">
      <c r="A50" s="63" t="s">
        <v>23</v>
      </c>
      <c r="B50" s="63">
        <v>12491</v>
      </c>
      <c r="C50" s="63">
        <v>11565</v>
      </c>
      <c r="D50" s="63">
        <v>11198</v>
      </c>
      <c r="E50" s="63">
        <v>11124</v>
      </c>
      <c r="F50" s="63">
        <v>11150</v>
      </c>
      <c r="G50" s="63">
        <v>11347</v>
      </c>
    </row>
    <row r="51" spans="1:7" ht="15" customHeight="1" x14ac:dyDescent="0.35">
      <c r="A51" s="63" t="s">
        <v>24</v>
      </c>
      <c r="B51" s="63">
        <v>8942</v>
      </c>
      <c r="C51" s="63">
        <v>8195</v>
      </c>
      <c r="D51" s="63">
        <v>7915</v>
      </c>
      <c r="E51" s="63">
        <v>7835</v>
      </c>
      <c r="F51" s="63">
        <v>7826</v>
      </c>
      <c r="G51" s="63">
        <v>7925</v>
      </c>
    </row>
    <row r="52" spans="1:7" ht="15" customHeight="1" x14ac:dyDescent="0.35">
      <c r="A52" s="63" t="s">
        <v>25</v>
      </c>
      <c r="B52" s="63">
        <v>5285</v>
      </c>
      <c r="C52" s="63">
        <v>4801</v>
      </c>
      <c r="D52" s="63">
        <v>4621</v>
      </c>
      <c r="E52" s="63">
        <v>4553</v>
      </c>
      <c r="F52" s="63">
        <v>4530</v>
      </c>
      <c r="G52" s="63">
        <v>4570</v>
      </c>
    </row>
    <row r="53" spans="1:7" ht="15" customHeight="1" x14ac:dyDescent="0.35">
      <c r="A53" s="63" t="s">
        <v>26</v>
      </c>
      <c r="B53" s="63">
        <v>1601</v>
      </c>
      <c r="C53" s="63">
        <v>1460</v>
      </c>
      <c r="D53" s="63">
        <v>1387</v>
      </c>
      <c r="E53" s="63">
        <v>1349</v>
      </c>
      <c r="F53" s="63">
        <v>1322</v>
      </c>
      <c r="G53" s="63">
        <v>1315</v>
      </c>
    </row>
    <row r="54" spans="1:7" ht="15" customHeight="1" x14ac:dyDescent="0.35">
      <c r="A54" s="63" t="s">
        <v>27</v>
      </c>
      <c r="B54" s="63">
        <v>2085</v>
      </c>
      <c r="C54" s="63">
        <v>1940</v>
      </c>
      <c r="D54" s="63">
        <v>1885</v>
      </c>
      <c r="E54" s="63">
        <v>1876</v>
      </c>
      <c r="F54" s="63">
        <v>1877</v>
      </c>
      <c r="G54" s="63">
        <v>1897</v>
      </c>
    </row>
    <row r="55" spans="1:7" ht="15" customHeight="1" x14ac:dyDescent="0.35">
      <c r="A55" s="63" t="s">
        <v>28</v>
      </c>
      <c r="B55" s="63">
        <v>118</v>
      </c>
      <c r="C55" s="63">
        <v>108</v>
      </c>
      <c r="D55" s="63">
        <v>103</v>
      </c>
      <c r="E55" s="63">
        <v>100</v>
      </c>
      <c r="F55" s="63">
        <v>97</v>
      </c>
      <c r="G55" s="63">
        <v>97</v>
      </c>
    </row>
    <row r="56" spans="1:7" ht="15" customHeight="1" x14ac:dyDescent="0.35">
      <c r="A56" s="63" t="s">
        <v>29</v>
      </c>
      <c r="B56" s="63">
        <v>813</v>
      </c>
      <c r="C56" s="63">
        <v>751</v>
      </c>
      <c r="D56" s="63">
        <v>725</v>
      </c>
      <c r="E56" s="63">
        <v>717</v>
      </c>
      <c r="F56" s="63">
        <v>714</v>
      </c>
      <c r="G56" s="63">
        <v>718</v>
      </c>
    </row>
    <row r="59" spans="1:7" ht="15" customHeight="1" x14ac:dyDescent="0.35">
      <c r="A59" s="61" t="s">
        <v>230</v>
      </c>
    </row>
    <row r="60" spans="1:7" ht="15" customHeight="1" x14ac:dyDescent="0.35">
      <c r="A60" s="62" t="s">
        <v>8</v>
      </c>
      <c r="B60" s="62">
        <v>2025</v>
      </c>
      <c r="C60" s="62">
        <v>2026</v>
      </c>
      <c r="D60" s="62">
        <v>2027</v>
      </c>
      <c r="E60" s="62">
        <v>2028</v>
      </c>
      <c r="F60" s="62">
        <v>2029</v>
      </c>
      <c r="G60" s="62">
        <v>2030</v>
      </c>
    </row>
    <row r="61" spans="1:7" ht="15" customHeight="1" x14ac:dyDescent="0.35">
      <c r="A61" s="63" t="s">
        <v>19</v>
      </c>
      <c r="B61" s="63">
        <v>12858</v>
      </c>
      <c r="C61" s="63">
        <v>12592</v>
      </c>
      <c r="D61" s="63">
        <v>12105</v>
      </c>
      <c r="E61" s="63">
        <v>11571</v>
      </c>
      <c r="F61" s="63">
        <v>11181</v>
      </c>
      <c r="G61" s="63">
        <v>10812</v>
      </c>
    </row>
    <row r="62" spans="1:7" ht="15" customHeight="1" x14ac:dyDescent="0.35">
      <c r="A62" s="63" t="s">
        <v>21</v>
      </c>
      <c r="B62" s="63">
        <v>585</v>
      </c>
      <c r="C62" s="63">
        <v>564</v>
      </c>
      <c r="D62" s="63">
        <v>415</v>
      </c>
      <c r="E62" s="63">
        <v>325</v>
      </c>
      <c r="F62" s="63">
        <v>301</v>
      </c>
      <c r="G62" s="63">
        <v>285</v>
      </c>
    </row>
    <row r="63" spans="1:7" ht="15" customHeight="1" x14ac:dyDescent="0.35">
      <c r="A63" s="63" t="s">
        <v>22</v>
      </c>
      <c r="B63" s="63">
        <v>451</v>
      </c>
      <c r="C63" s="63">
        <v>384</v>
      </c>
      <c r="D63" s="63">
        <v>331</v>
      </c>
      <c r="E63" s="63">
        <v>257</v>
      </c>
      <c r="F63" s="63">
        <v>199</v>
      </c>
      <c r="G63" s="63">
        <v>162</v>
      </c>
    </row>
    <row r="64" spans="1:7" ht="15" customHeight="1" x14ac:dyDescent="0.35">
      <c r="A64" s="63" t="s">
        <v>23</v>
      </c>
      <c r="B64" s="63">
        <v>11822</v>
      </c>
      <c r="C64" s="63">
        <v>11644</v>
      </c>
      <c r="D64" s="63">
        <v>11359</v>
      </c>
      <c r="E64" s="63">
        <v>10989</v>
      </c>
      <c r="F64" s="63">
        <v>10681</v>
      </c>
      <c r="G64" s="63">
        <v>10365</v>
      </c>
    </row>
    <row r="65" spans="1:7" ht="15" customHeight="1" x14ac:dyDescent="0.35">
      <c r="A65" s="63" t="s">
        <v>24</v>
      </c>
      <c r="B65" s="63">
        <v>7194</v>
      </c>
      <c r="C65" s="63">
        <v>7126</v>
      </c>
      <c r="D65" s="63">
        <v>6874</v>
      </c>
      <c r="E65" s="63">
        <v>6575</v>
      </c>
      <c r="F65" s="63">
        <v>6392</v>
      </c>
      <c r="G65" s="63">
        <v>6224</v>
      </c>
    </row>
    <row r="66" spans="1:7" ht="15" customHeight="1" x14ac:dyDescent="0.35">
      <c r="A66" s="63" t="s">
        <v>25</v>
      </c>
      <c r="B66" s="63">
        <v>5665</v>
      </c>
      <c r="C66" s="63">
        <v>5469</v>
      </c>
      <c r="D66" s="63">
        <v>5229</v>
      </c>
      <c r="E66" s="63">
        <v>4994</v>
      </c>
      <c r="F66" s="63">
        <v>4792</v>
      </c>
      <c r="G66" s="63">
        <v>4590</v>
      </c>
    </row>
    <row r="67" spans="1:7" ht="15" customHeight="1" x14ac:dyDescent="0.35">
      <c r="A67" s="63" t="s">
        <v>26</v>
      </c>
      <c r="B67" s="63">
        <v>342</v>
      </c>
      <c r="C67" s="63">
        <v>323</v>
      </c>
      <c r="D67" s="63">
        <v>299</v>
      </c>
      <c r="E67" s="63">
        <v>270</v>
      </c>
      <c r="F67" s="63">
        <v>242</v>
      </c>
      <c r="G67" s="63">
        <v>212</v>
      </c>
    </row>
    <row r="68" spans="1:7" ht="15" customHeight="1" x14ac:dyDescent="0.35">
      <c r="A68" s="63" t="s">
        <v>27</v>
      </c>
      <c r="B68" s="63">
        <v>526</v>
      </c>
      <c r="C68" s="63">
        <v>507</v>
      </c>
      <c r="D68" s="63">
        <v>484</v>
      </c>
      <c r="E68" s="63">
        <v>454</v>
      </c>
      <c r="F68" s="63">
        <v>431</v>
      </c>
      <c r="G68" s="63">
        <v>410</v>
      </c>
    </row>
    <row r="69" spans="1:7" ht="15" customHeight="1" x14ac:dyDescent="0.35">
      <c r="A69" s="63" t="s">
        <v>28</v>
      </c>
      <c r="B69" s="63">
        <v>377</v>
      </c>
      <c r="C69" s="63">
        <v>351</v>
      </c>
      <c r="D69" s="63">
        <v>325</v>
      </c>
      <c r="E69" s="63">
        <v>297</v>
      </c>
      <c r="F69" s="63">
        <v>266</v>
      </c>
      <c r="G69" s="63">
        <v>229</v>
      </c>
    </row>
    <row r="70" spans="1:7" ht="15" customHeight="1" x14ac:dyDescent="0.35">
      <c r="A70" s="63" t="s">
        <v>29</v>
      </c>
      <c r="B70" s="63">
        <v>423</v>
      </c>
      <c r="C70" s="63">
        <v>410</v>
      </c>
      <c r="D70" s="63">
        <v>398</v>
      </c>
      <c r="E70" s="63">
        <v>381</v>
      </c>
      <c r="F70" s="63">
        <v>364</v>
      </c>
      <c r="G70" s="63">
        <v>347</v>
      </c>
    </row>
    <row r="73" spans="1:7" ht="15" customHeight="1" x14ac:dyDescent="0.35">
      <c r="A73" s="61" t="s">
        <v>231</v>
      </c>
    </row>
    <row r="74" spans="1:7" ht="15" customHeight="1" x14ac:dyDescent="0.35">
      <c r="A74" s="62" t="s">
        <v>8</v>
      </c>
      <c r="B74" s="62">
        <v>2025</v>
      </c>
      <c r="C74" s="62">
        <v>2026</v>
      </c>
      <c r="D74" s="62">
        <v>2027</v>
      </c>
      <c r="E74" s="62">
        <v>2028</v>
      </c>
      <c r="F74" s="62">
        <v>2029</v>
      </c>
      <c r="G74" s="62">
        <v>2030</v>
      </c>
    </row>
    <row r="75" spans="1:7" ht="15" customHeight="1" x14ac:dyDescent="0.35">
      <c r="A75" s="63" t="s">
        <v>19</v>
      </c>
      <c r="B75" s="63">
        <v>21375484</v>
      </c>
      <c r="C75" s="63">
        <v>21949860</v>
      </c>
      <c r="D75" s="63">
        <v>22534467</v>
      </c>
      <c r="E75" s="63">
        <v>23123883</v>
      </c>
      <c r="F75" s="63">
        <v>23729603</v>
      </c>
      <c r="G75" s="63">
        <v>24334055</v>
      </c>
    </row>
    <row r="76" spans="1:7" ht="15" customHeight="1" x14ac:dyDescent="0.35">
      <c r="A76" s="63" t="s">
        <v>21</v>
      </c>
      <c r="B76" s="63">
        <v>3188681</v>
      </c>
      <c r="C76" s="63">
        <v>3236793</v>
      </c>
      <c r="D76" s="63">
        <v>3285865</v>
      </c>
      <c r="E76" s="63">
        <v>3333317</v>
      </c>
      <c r="F76" s="63">
        <v>3380322</v>
      </c>
      <c r="G76" s="63">
        <v>3421764</v>
      </c>
    </row>
    <row r="77" spans="1:7" ht="15" customHeight="1" x14ac:dyDescent="0.35">
      <c r="A77" s="63" t="s">
        <v>22</v>
      </c>
      <c r="B77" s="63">
        <v>5709613</v>
      </c>
      <c r="C77" s="63">
        <v>5770907</v>
      </c>
      <c r="D77" s="63">
        <v>5837918</v>
      </c>
      <c r="E77" s="63">
        <v>5906804</v>
      </c>
      <c r="F77" s="63">
        <v>5987545</v>
      </c>
      <c r="G77" s="63">
        <v>6078147</v>
      </c>
    </row>
    <row r="78" spans="1:7" ht="15" customHeight="1" x14ac:dyDescent="0.35">
      <c r="A78" s="63" t="s">
        <v>23</v>
      </c>
      <c r="B78" s="63">
        <v>12477190</v>
      </c>
      <c r="C78" s="63">
        <v>12942160</v>
      </c>
      <c r="D78" s="63">
        <v>13410684</v>
      </c>
      <c r="E78" s="63">
        <v>13883762</v>
      </c>
      <c r="F78" s="63">
        <v>14361736</v>
      </c>
      <c r="G78" s="63">
        <v>14834144</v>
      </c>
    </row>
    <row r="79" spans="1:7" ht="15" customHeight="1" x14ac:dyDescent="0.35">
      <c r="A79" s="63" t="s">
        <v>24</v>
      </c>
      <c r="B79" s="63">
        <v>10773062</v>
      </c>
      <c r="C79" s="63">
        <v>11062230</v>
      </c>
      <c r="D79" s="63">
        <v>11356768</v>
      </c>
      <c r="E79" s="63">
        <v>11654017</v>
      </c>
      <c r="F79" s="63">
        <v>11959325</v>
      </c>
      <c r="G79" s="63">
        <v>12264348</v>
      </c>
    </row>
    <row r="80" spans="1:7" ht="15" customHeight="1" x14ac:dyDescent="0.35">
      <c r="A80" s="63" t="s">
        <v>25</v>
      </c>
      <c r="B80" s="63">
        <v>10602425</v>
      </c>
      <c r="C80" s="63">
        <v>10887628</v>
      </c>
      <c r="D80" s="63">
        <v>11177697</v>
      </c>
      <c r="E80" s="63">
        <v>11469869</v>
      </c>
      <c r="F80" s="63">
        <v>11770277</v>
      </c>
      <c r="G80" s="63">
        <v>12069708</v>
      </c>
    </row>
    <row r="81" spans="1:8" ht="15" customHeight="1" x14ac:dyDescent="0.35">
      <c r="A81" s="63" t="s">
        <v>26</v>
      </c>
      <c r="B81" s="63">
        <v>1309485</v>
      </c>
      <c r="C81" s="63">
        <v>1333754</v>
      </c>
      <c r="D81" s="63">
        <v>1352756</v>
      </c>
      <c r="E81" s="63">
        <v>1368897</v>
      </c>
      <c r="F81" s="63">
        <v>1380804</v>
      </c>
      <c r="G81" s="63">
        <v>1389740</v>
      </c>
    </row>
    <row r="82" spans="1:8" ht="15" customHeight="1" x14ac:dyDescent="0.35">
      <c r="A82" s="63" t="s">
        <v>27</v>
      </c>
      <c r="B82" s="63">
        <v>1092458</v>
      </c>
      <c r="C82" s="63">
        <v>1137739</v>
      </c>
      <c r="D82" s="63">
        <v>1182182</v>
      </c>
      <c r="E82" s="63">
        <v>1223921</v>
      </c>
      <c r="F82" s="63">
        <v>1261079</v>
      </c>
      <c r="G82" s="63">
        <v>1290639</v>
      </c>
    </row>
    <row r="83" spans="1:8" ht="15" customHeight="1" x14ac:dyDescent="0.35">
      <c r="A83" s="63" t="s">
        <v>28</v>
      </c>
      <c r="B83" s="63">
        <v>1294286</v>
      </c>
      <c r="C83" s="63">
        <v>1319889</v>
      </c>
      <c r="D83" s="63">
        <v>1340457</v>
      </c>
      <c r="E83" s="63">
        <v>1358683</v>
      </c>
      <c r="F83" s="63">
        <v>1372961</v>
      </c>
      <c r="G83" s="63">
        <v>1384172</v>
      </c>
    </row>
    <row r="84" spans="1:8" ht="15" customHeight="1" x14ac:dyDescent="0.35">
      <c r="A84" s="63" t="s">
        <v>29</v>
      </c>
      <c r="B84" s="63">
        <v>1085172</v>
      </c>
      <c r="C84" s="63">
        <v>1127369</v>
      </c>
      <c r="D84" s="63">
        <v>1169614</v>
      </c>
      <c r="E84" s="63">
        <v>1209804</v>
      </c>
      <c r="F84" s="63">
        <v>1246389</v>
      </c>
      <c r="G84" s="63">
        <v>1276379</v>
      </c>
    </row>
    <row r="87" spans="1:8" ht="15" customHeight="1" x14ac:dyDescent="0.35">
      <c r="A87" s="61" t="s">
        <v>232</v>
      </c>
    </row>
    <row r="88" spans="1:8" ht="15" customHeight="1" x14ac:dyDescent="0.35">
      <c r="A88" s="62" t="s">
        <v>233</v>
      </c>
      <c r="B88" s="62" t="s">
        <v>31</v>
      </c>
      <c r="C88" s="62" t="s">
        <v>34</v>
      </c>
      <c r="D88" s="62" t="s">
        <v>234</v>
      </c>
      <c r="E88" s="62" t="s">
        <v>40</v>
      </c>
      <c r="F88" s="62" t="s">
        <v>235</v>
      </c>
      <c r="G88" s="62" t="s">
        <v>236</v>
      </c>
      <c r="H88" s="62" t="s">
        <v>237</v>
      </c>
    </row>
    <row r="89" spans="1:8" ht="15" customHeight="1" x14ac:dyDescent="0.35">
      <c r="A89" s="63" t="s">
        <v>238</v>
      </c>
      <c r="B89" s="63">
        <v>49.9</v>
      </c>
      <c r="C89" s="63">
        <v>12.8</v>
      </c>
      <c r="D89" s="63">
        <v>13.8</v>
      </c>
      <c r="E89" s="63">
        <v>27</v>
      </c>
      <c r="F89" s="63">
        <v>5.3643099999999997</v>
      </c>
      <c r="G89" s="63">
        <v>9.04406</v>
      </c>
      <c r="H89" s="63">
        <v>0.54129000000000005</v>
      </c>
    </row>
    <row r="90" spans="1:8" ht="15" customHeight="1" x14ac:dyDescent="0.35">
      <c r="A90" s="63" t="s">
        <v>239</v>
      </c>
      <c r="B90" s="63">
        <v>91</v>
      </c>
      <c r="C90" s="63">
        <v>92.5</v>
      </c>
      <c r="D90" s="63">
        <v>0</v>
      </c>
      <c r="E90" s="63">
        <v>0</v>
      </c>
      <c r="F90" s="63">
        <v>87.206800000000001</v>
      </c>
      <c r="G90" s="63">
        <v>91.384159999999994</v>
      </c>
      <c r="H90" s="63">
        <v>72.883269999999996</v>
      </c>
    </row>
    <row r="91" spans="1:8" ht="15" customHeight="1" x14ac:dyDescent="0.35">
      <c r="A91" s="63" t="s">
        <v>240</v>
      </c>
      <c r="B91" s="63">
        <v>1460</v>
      </c>
      <c r="C91" s="63">
        <v>151</v>
      </c>
      <c r="D91" s="63">
        <v>21</v>
      </c>
      <c r="E91" s="63">
        <v>72</v>
      </c>
      <c r="F91" s="63">
        <v>4585.55908</v>
      </c>
      <c r="G91" s="63">
        <v>7306.1616199999999</v>
      </c>
      <c r="H91" s="63">
        <v>1740.6999499999999</v>
      </c>
    </row>
    <row r="92" spans="1:8" ht="15" customHeight="1" x14ac:dyDescent="0.35">
      <c r="A92" s="63" t="s">
        <v>241</v>
      </c>
      <c r="B92" s="63">
        <v>39004</v>
      </c>
      <c r="C92" s="63">
        <v>35391</v>
      </c>
      <c r="D92" s="63">
        <v>4876</v>
      </c>
      <c r="E92" s="63">
        <v>8369</v>
      </c>
      <c r="F92" s="63"/>
      <c r="G92" s="63"/>
      <c r="H92" s="63"/>
    </row>
    <row r="95" spans="1:8" ht="15" customHeight="1" x14ac:dyDescent="0.35">
      <c r="A95" s="61" t="s">
        <v>242</v>
      </c>
    </row>
    <row r="96" spans="1:8" ht="15" customHeight="1" x14ac:dyDescent="0.35">
      <c r="A96" s="62" t="s">
        <v>233</v>
      </c>
      <c r="B96" s="62">
        <v>2025</v>
      </c>
      <c r="C96" s="62">
        <v>2026</v>
      </c>
      <c r="D96" s="62">
        <v>2027</v>
      </c>
      <c r="E96" s="62">
        <v>2028</v>
      </c>
      <c r="F96" s="62">
        <v>2029</v>
      </c>
      <c r="G96" s="62">
        <v>2030</v>
      </c>
    </row>
    <row r="97" spans="1:7" ht="15" customHeight="1" x14ac:dyDescent="0.35">
      <c r="A97" s="63" t="s">
        <v>243</v>
      </c>
      <c r="B97" s="63">
        <v>29452</v>
      </c>
      <c r="C97" s="63">
        <v>27356</v>
      </c>
      <c r="D97" s="63">
        <v>25527</v>
      </c>
      <c r="E97" s="63">
        <v>23778</v>
      </c>
      <c r="F97" s="63">
        <v>22227</v>
      </c>
      <c r="G97" s="63">
        <v>20665</v>
      </c>
    </row>
    <row r="98" spans="1:7" ht="15" customHeight="1" x14ac:dyDescent="0.35">
      <c r="A98" s="63" t="s">
        <v>244</v>
      </c>
      <c r="B98" s="63">
        <v>28910</v>
      </c>
      <c r="C98" s="63">
        <v>26809</v>
      </c>
      <c r="D98" s="63">
        <v>25016</v>
      </c>
      <c r="E98" s="63">
        <v>23303</v>
      </c>
      <c r="F98" s="63">
        <v>21783</v>
      </c>
      <c r="G98" s="63">
        <v>20252</v>
      </c>
    </row>
    <row r="99" spans="1:7" ht="15" customHeight="1" x14ac:dyDescent="0.35">
      <c r="A99" s="63" t="s">
        <v>245</v>
      </c>
      <c r="B99" s="63">
        <v>5.89</v>
      </c>
      <c r="C99" s="63">
        <v>5.22</v>
      </c>
      <c r="D99" s="63">
        <v>5.24</v>
      </c>
      <c r="E99" s="63">
        <v>5.32</v>
      </c>
      <c r="F99" s="63">
        <v>5.42</v>
      </c>
      <c r="G99" s="63">
        <v>5.56</v>
      </c>
    </row>
    <row r="102" spans="1:7" ht="15" customHeight="1" x14ac:dyDescent="0.35">
      <c r="A102" s="61" t="s">
        <v>246</v>
      </c>
    </row>
    <row r="103" spans="1:7" ht="15" customHeight="1" x14ac:dyDescent="0.35">
      <c r="A103" s="62" t="s">
        <v>247</v>
      </c>
      <c r="B103" s="62">
        <v>2025</v>
      </c>
      <c r="C103" s="62">
        <v>2026</v>
      </c>
      <c r="D103" s="62">
        <v>2027</v>
      </c>
      <c r="E103" s="62">
        <v>2028</v>
      </c>
      <c r="F103" s="62">
        <v>2029</v>
      </c>
      <c r="G103" s="62">
        <v>2030</v>
      </c>
    </row>
    <row r="104" spans="1:7" ht="15" customHeight="1" x14ac:dyDescent="0.35">
      <c r="A104" s="63" t="s">
        <v>248</v>
      </c>
      <c r="B104" s="63">
        <v>8.9954536236532405</v>
      </c>
      <c r="C104" s="63">
        <v>8.7081950777680603</v>
      </c>
      <c r="D104" s="63">
        <v>8.4327539498432493</v>
      </c>
      <c r="E104" s="63">
        <v>8.1678064037492604</v>
      </c>
      <c r="F104" s="63">
        <v>7.9159017214285896</v>
      </c>
      <c r="G104" s="63">
        <v>7.6768437012688802</v>
      </c>
    </row>
    <row r="105" spans="1:7" ht="15" customHeight="1" x14ac:dyDescent="0.35">
      <c r="A105" s="63" t="s">
        <v>249</v>
      </c>
      <c r="B105" s="63">
        <v>5.2302856850505197</v>
      </c>
      <c r="C105" s="63">
        <v>5.0298898725211902</v>
      </c>
      <c r="D105" s="63">
        <v>4.8383734016170203</v>
      </c>
      <c r="E105" s="63">
        <v>4.6532671117886402</v>
      </c>
      <c r="F105" s="63">
        <v>4.4766620960456702</v>
      </c>
      <c r="G105" s="63">
        <v>4.3083573996327003</v>
      </c>
    </row>
    <row r="108" spans="1:7" ht="15" customHeight="1" x14ac:dyDescent="0.35">
      <c r="A108" s="61" t="s">
        <v>250</v>
      </c>
    </row>
    <row r="109" spans="1:7" ht="15" customHeight="1" x14ac:dyDescent="0.35">
      <c r="A109" s="62" t="s">
        <v>247</v>
      </c>
      <c r="B109" s="62">
        <v>2025</v>
      </c>
      <c r="C109" s="62">
        <v>2026</v>
      </c>
      <c r="D109" s="62">
        <v>2027</v>
      </c>
      <c r="E109" s="62">
        <v>2028</v>
      </c>
      <c r="F109" s="62">
        <v>2029</v>
      </c>
      <c r="G109" s="62">
        <v>2030</v>
      </c>
    </row>
    <row r="110" spans="1:7" ht="15" customHeight="1" x14ac:dyDescent="0.35">
      <c r="A110" s="63" t="s">
        <v>251</v>
      </c>
      <c r="B110" s="63">
        <v>91.488164237690597</v>
      </c>
      <c r="C110" s="63">
        <v>92.739141615408798</v>
      </c>
      <c r="D110" s="63">
        <v>93.039859127272393</v>
      </c>
      <c r="E110" s="63">
        <v>93.322540318138493</v>
      </c>
      <c r="F110" s="63">
        <v>93.645511120195906</v>
      </c>
      <c r="G110" s="63">
        <v>94.018946422891702</v>
      </c>
    </row>
    <row r="111" spans="1:7" ht="15" customHeight="1" x14ac:dyDescent="0.35">
      <c r="A111" s="63" t="s">
        <v>252</v>
      </c>
      <c r="B111" s="63">
        <v>87.3714666210969</v>
      </c>
      <c r="C111" s="63">
        <v>88.016528925619795</v>
      </c>
      <c r="D111" s="63">
        <v>88.850466622226506</v>
      </c>
      <c r="E111" s="63">
        <v>89.683892125005599</v>
      </c>
      <c r="F111" s="63">
        <v>90.565679345859806</v>
      </c>
      <c r="G111" s="63">
        <v>91.455240433406104</v>
      </c>
    </row>
    <row r="114" spans="1:7" ht="15" customHeight="1" x14ac:dyDescent="0.35">
      <c r="A114" s="61" t="s">
        <v>253</v>
      </c>
    </row>
    <row r="115" spans="1:7" ht="15" customHeight="1" x14ac:dyDescent="0.35">
      <c r="A115" s="62" t="s">
        <v>254</v>
      </c>
      <c r="B115" s="62" t="s">
        <v>255</v>
      </c>
      <c r="C115" s="62" t="s">
        <v>256</v>
      </c>
      <c r="D115" s="62" t="s">
        <v>257</v>
      </c>
      <c r="E115" s="62" t="s">
        <v>258</v>
      </c>
    </row>
    <row r="116" spans="1:7" ht="15" customHeight="1" x14ac:dyDescent="0.35">
      <c r="A116" s="63" t="s">
        <v>259</v>
      </c>
      <c r="B116" s="63">
        <v>1006958.688</v>
      </c>
      <c r="C116" s="63">
        <v>963044.9375</v>
      </c>
      <c r="D116" s="63">
        <v>896938.375</v>
      </c>
      <c r="E116" s="63">
        <v>862058.5625</v>
      </c>
    </row>
    <row r="117" spans="1:7" ht="15" customHeight="1" x14ac:dyDescent="0.35">
      <c r="A117" s="63" t="s">
        <v>260</v>
      </c>
      <c r="B117" s="63">
        <v>964842.0625</v>
      </c>
      <c r="C117" s="63">
        <v>926304.0625</v>
      </c>
      <c r="D117" s="63">
        <v>868743.375</v>
      </c>
      <c r="E117" s="63">
        <v>837495.5</v>
      </c>
    </row>
    <row r="118" spans="1:7" ht="15" customHeight="1" x14ac:dyDescent="0.35">
      <c r="A118" s="63" t="s">
        <v>261</v>
      </c>
      <c r="B118" s="63">
        <v>42116.601560000003</v>
      </c>
      <c r="C118" s="63">
        <v>36740.894529999998</v>
      </c>
      <c r="D118" s="63">
        <v>28195</v>
      </c>
      <c r="E118" s="63">
        <v>24563.070309999999</v>
      </c>
    </row>
    <row r="119" spans="1:7" ht="15" customHeight="1" x14ac:dyDescent="0.35">
      <c r="A119" s="63" t="s">
        <v>262</v>
      </c>
      <c r="B119" s="63">
        <v>339406.9375</v>
      </c>
      <c r="C119" s="63">
        <v>318635.75</v>
      </c>
      <c r="D119" s="63">
        <v>296544.96879999997</v>
      </c>
      <c r="E119" s="63">
        <v>285349.5</v>
      </c>
    </row>
    <row r="120" spans="1:7" ht="15" customHeight="1" x14ac:dyDescent="0.35">
      <c r="A120" s="63" t="s">
        <v>263</v>
      </c>
      <c r="B120" s="63">
        <v>625435.1875</v>
      </c>
      <c r="C120" s="63">
        <v>607668.3125</v>
      </c>
      <c r="D120" s="63">
        <v>572198.375</v>
      </c>
      <c r="E120" s="63">
        <v>552146</v>
      </c>
    </row>
    <row r="123" spans="1:7" ht="15" customHeight="1" x14ac:dyDescent="0.35">
      <c r="A123" s="61" t="s">
        <v>264</v>
      </c>
    </row>
    <row r="124" spans="1:7" ht="15" customHeight="1" x14ac:dyDescent="0.35">
      <c r="A124" s="62" t="s">
        <v>247</v>
      </c>
      <c r="B124" s="62">
        <v>2025</v>
      </c>
      <c r="C124" s="62">
        <v>2026</v>
      </c>
      <c r="D124" s="62">
        <v>2027</v>
      </c>
      <c r="E124" s="62">
        <v>2028</v>
      </c>
      <c r="F124" s="62">
        <v>2029</v>
      </c>
      <c r="G124" s="62">
        <v>2030</v>
      </c>
    </row>
    <row r="125" spans="1:7" ht="15" customHeight="1" x14ac:dyDescent="0.35">
      <c r="A125" s="63" t="s">
        <v>265</v>
      </c>
      <c r="B125" s="63">
        <v>681710</v>
      </c>
      <c r="C125" s="63">
        <v>687882</v>
      </c>
      <c r="D125" s="63">
        <v>697671</v>
      </c>
      <c r="E125" s="63">
        <v>706044</v>
      </c>
      <c r="F125" s="63">
        <v>716266</v>
      </c>
      <c r="G125" s="63">
        <v>721123</v>
      </c>
    </row>
    <row r="128" spans="1:7" ht="15" customHeight="1" x14ac:dyDescent="0.35">
      <c r="A128" s="61" t="s">
        <v>266</v>
      </c>
    </row>
    <row r="129" spans="1:7" ht="15" customHeight="1" x14ac:dyDescent="0.35">
      <c r="A129" s="62" t="s">
        <v>247</v>
      </c>
      <c r="B129" s="62">
        <v>2025</v>
      </c>
      <c r="C129" s="62">
        <v>2026</v>
      </c>
      <c r="D129" s="62">
        <v>2027</v>
      </c>
      <c r="E129" s="62">
        <v>2028</v>
      </c>
      <c r="F129" s="62">
        <v>2029</v>
      </c>
      <c r="G129" s="62">
        <v>2030</v>
      </c>
    </row>
    <row r="130" spans="1:7" ht="15" customHeight="1" x14ac:dyDescent="0.35">
      <c r="A130" s="63" t="s">
        <v>267</v>
      </c>
      <c r="B130" s="63">
        <v>516929</v>
      </c>
      <c r="C130" s="63">
        <v>536911</v>
      </c>
      <c r="D130" s="63">
        <v>553364</v>
      </c>
      <c r="E130" s="63">
        <v>569327</v>
      </c>
      <c r="F130" s="63">
        <v>584559</v>
      </c>
      <c r="G130" s="63">
        <v>598977</v>
      </c>
    </row>
    <row r="133" spans="1:7" ht="15" customHeight="1" x14ac:dyDescent="0.35">
      <c r="A133" s="61" t="s">
        <v>268</v>
      </c>
    </row>
    <row r="134" spans="1:7" ht="15" customHeight="1" x14ac:dyDescent="0.35">
      <c r="A134" s="62" t="s">
        <v>269</v>
      </c>
      <c r="B134" s="62">
        <v>2025</v>
      </c>
      <c r="C134" s="62">
        <v>2026</v>
      </c>
      <c r="D134" s="62">
        <v>2027</v>
      </c>
      <c r="E134" s="62">
        <v>2028</v>
      </c>
      <c r="F134" s="62">
        <v>2029</v>
      </c>
      <c r="G134" s="62">
        <v>2030</v>
      </c>
    </row>
    <row r="135" spans="1:7" ht="15" customHeight="1" x14ac:dyDescent="0.35">
      <c r="A135" s="63" t="s">
        <v>107</v>
      </c>
      <c r="B135" s="63">
        <v>10056</v>
      </c>
      <c r="C135" s="63">
        <v>10575</v>
      </c>
      <c r="D135" s="63">
        <v>11095</v>
      </c>
      <c r="E135" s="63">
        <v>11614</v>
      </c>
      <c r="F135" s="63">
        <v>12134</v>
      </c>
      <c r="G135" s="63">
        <v>12653</v>
      </c>
    </row>
    <row r="136" spans="1:7" ht="15" customHeight="1" x14ac:dyDescent="0.35">
      <c r="A136" s="63" t="s">
        <v>34</v>
      </c>
      <c r="B136" s="63">
        <v>2682</v>
      </c>
      <c r="C136" s="63">
        <v>5893</v>
      </c>
      <c r="D136" s="63">
        <v>9105</v>
      </c>
      <c r="E136" s="63">
        <v>12316</v>
      </c>
      <c r="F136" s="63">
        <v>12316</v>
      </c>
      <c r="G136" s="63">
        <v>12316</v>
      </c>
    </row>
    <row r="137" spans="1:7" ht="15" customHeight="1" x14ac:dyDescent="0.35">
      <c r="A137" s="63" t="s">
        <v>31</v>
      </c>
      <c r="B137" s="63">
        <v>5028</v>
      </c>
      <c r="C137" s="63">
        <v>6295</v>
      </c>
      <c r="D137" s="63">
        <v>7563</v>
      </c>
      <c r="E137" s="63">
        <v>8831</v>
      </c>
      <c r="F137" s="63">
        <v>8831</v>
      </c>
      <c r="G137" s="63">
        <v>8831</v>
      </c>
    </row>
    <row r="138" spans="1:7" ht="15" customHeight="1" x14ac:dyDescent="0.35">
      <c r="A138" s="63" t="s">
        <v>40</v>
      </c>
      <c r="B138" s="63">
        <v>1006</v>
      </c>
      <c r="C138" s="63">
        <v>1976</v>
      </c>
      <c r="D138" s="63">
        <v>2947</v>
      </c>
      <c r="E138" s="63">
        <v>3917</v>
      </c>
      <c r="F138" s="63">
        <v>4887</v>
      </c>
      <c r="G138" s="63">
        <v>4887</v>
      </c>
    </row>
    <row r="139" spans="1:7" ht="15" customHeight="1" x14ac:dyDescent="0.35">
      <c r="A139" s="63" t="s">
        <v>111</v>
      </c>
      <c r="B139" s="63">
        <v>6704</v>
      </c>
      <c r="C139" s="63">
        <v>7621</v>
      </c>
      <c r="D139" s="63">
        <v>8539</v>
      </c>
      <c r="E139" s="63">
        <v>9456</v>
      </c>
      <c r="F139" s="63">
        <v>10374</v>
      </c>
      <c r="G139" s="63">
        <v>11291</v>
      </c>
    </row>
    <row r="140" spans="1:7" ht="15" customHeight="1" x14ac:dyDescent="0.35">
      <c r="A140" s="63" t="s">
        <v>37</v>
      </c>
      <c r="B140" s="63">
        <v>335</v>
      </c>
      <c r="C140" s="63">
        <v>1090</v>
      </c>
      <c r="D140" s="63">
        <v>1845</v>
      </c>
      <c r="E140" s="63">
        <v>2600</v>
      </c>
      <c r="F140" s="63">
        <v>3355</v>
      </c>
      <c r="G140" s="63">
        <v>3355</v>
      </c>
    </row>
    <row r="141" spans="1:7" ht="15" customHeight="1" x14ac:dyDescent="0.35">
      <c r="A141" s="63" t="s">
        <v>113</v>
      </c>
      <c r="B141" s="63">
        <v>3687</v>
      </c>
      <c r="C141" s="63">
        <v>3878</v>
      </c>
      <c r="D141" s="63">
        <v>4068</v>
      </c>
      <c r="E141" s="63">
        <v>4259</v>
      </c>
      <c r="F141" s="63">
        <v>4449</v>
      </c>
      <c r="G141" s="63">
        <v>4640</v>
      </c>
    </row>
    <row r="142" spans="1:7" ht="15" customHeight="1" x14ac:dyDescent="0.35">
      <c r="A142" s="63" t="s">
        <v>114</v>
      </c>
      <c r="B142" s="63">
        <v>4022</v>
      </c>
      <c r="C142" s="63">
        <v>8423</v>
      </c>
      <c r="D142" s="63">
        <v>12824</v>
      </c>
      <c r="E142" s="63">
        <v>17225</v>
      </c>
      <c r="F142" s="63">
        <v>21626</v>
      </c>
      <c r="G142" s="63">
        <v>26027</v>
      </c>
    </row>
    <row r="143" spans="1:7" ht="15" customHeight="1" x14ac:dyDescent="0.35">
      <c r="A143" s="63" t="s">
        <v>270</v>
      </c>
      <c r="B143" s="63">
        <v>33519</v>
      </c>
      <c r="C143" s="63">
        <v>45752</v>
      </c>
      <c r="D143" s="63">
        <v>57985</v>
      </c>
      <c r="E143" s="63">
        <v>70218</v>
      </c>
      <c r="F143" s="63">
        <v>77972</v>
      </c>
      <c r="G143" s="63">
        <v>84000</v>
      </c>
    </row>
    <row r="146" spans="1:7" ht="15" customHeight="1" x14ac:dyDescent="0.35">
      <c r="A146" s="61" t="s">
        <v>271</v>
      </c>
    </row>
    <row r="147" spans="1:7" ht="15" customHeight="1" x14ac:dyDescent="0.35">
      <c r="A147" s="62" t="s">
        <v>247</v>
      </c>
      <c r="B147" s="62">
        <v>2025</v>
      </c>
      <c r="C147" s="62">
        <v>2026</v>
      </c>
      <c r="D147" s="62">
        <v>2027</v>
      </c>
      <c r="E147" s="62">
        <v>2028</v>
      </c>
      <c r="F147" s="62">
        <v>2029</v>
      </c>
      <c r="G147" s="62">
        <v>2030</v>
      </c>
    </row>
    <row r="148" spans="1:7" ht="15" customHeight="1" x14ac:dyDescent="0.35">
      <c r="A148" s="63" t="s">
        <v>272</v>
      </c>
      <c r="B148" s="63">
        <v>49483</v>
      </c>
      <c r="C148" s="63">
        <v>49483</v>
      </c>
      <c r="D148" s="63">
        <v>41171</v>
      </c>
      <c r="E148" s="63">
        <v>40474</v>
      </c>
      <c r="F148" s="63">
        <v>41081</v>
      </c>
      <c r="G148" s="63">
        <v>41227</v>
      </c>
    </row>
    <row r="149" spans="1:7" ht="15" customHeight="1" x14ac:dyDescent="0.35">
      <c r="A149" s="64" t="s">
        <v>273</v>
      </c>
    </row>
    <row r="152" spans="1:7" ht="15" customHeight="1" x14ac:dyDescent="0.35">
      <c r="A152" s="61" t="s">
        <v>274</v>
      </c>
    </row>
    <row r="153" spans="1:7" ht="15" customHeight="1" x14ac:dyDescent="0.35">
      <c r="A153" s="62" t="s">
        <v>247</v>
      </c>
      <c r="B153" s="62">
        <v>2025</v>
      </c>
      <c r="C153" s="62">
        <v>2026</v>
      </c>
      <c r="D153" s="62">
        <v>2027</v>
      </c>
      <c r="E153" s="62">
        <v>2028</v>
      </c>
      <c r="F153" s="62">
        <v>2029</v>
      </c>
      <c r="G153" s="62">
        <v>2030</v>
      </c>
    </row>
    <row r="154" spans="1:7" ht="15" customHeight="1" x14ac:dyDescent="0.35">
      <c r="A154" s="63" t="s">
        <v>275</v>
      </c>
      <c r="B154" s="63">
        <v>64004090</v>
      </c>
      <c r="C154" s="63">
        <v>76768334</v>
      </c>
      <c r="D154" s="63">
        <v>89532579</v>
      </c>
      <c r="E154" s="63">
        <v>102296823</v>
      </c>
      <c r="F154" s="63">
        <v>115061067</v>
      </c>
      <c r="G154" s="63">
        <v>127825312</v>
      </c>
    </row>
    <row r="155" spans="1:7" ht="15" customHeight="1" x14ac:dyDescent="0.35">
      <c r="A155" s="63" t="s">
        <v>276</v>
      </c>
      <c r="B155" s="63">
        <v>60803885.5</v>
      </c>
      <c r="C155" s="63">
        <v>72929917.299999997</v>
      </c>
      <c r="D155" s="63">
        <v>85055950.049999997</v>
      </c>
      <c r="E155" s="63">
        <v>97181981.849999994</v>
      </c>
      <c r="F155" s="63">
        <v>109308013.65000001</v>
      </c>
      <c r="G155" s="63">
        <v>121434046.40000001</v>
      </c>
    </row>
    <row r="156" spans="1:7" ht="15" customHeight="1" x14ac:dyDescent="0.35">
      <c r="A156" s="63" t="s">
        <v>277</v>
      </c>
      <c r="B156" s="63">
        <v>3200204.5</v>
      </c>
      <c r="C156" s="63">
        <v>3838416.7</v>
      </c>
      <c r="D156" s="63">
        <v>4476628.95</v>
      </c>
      <c r="E156" s="63">
        <v>5114841.1500000004</v>
      </c>
      <c r="F156" s="63">
        <v>5753053.3499999996</v>
      </c>
      <c r="G156" s="63">
        <v>6391265.5999999996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Presentation View</vt:lpstr>
      <vt:lpstr>Filterable View</vt:lpstr>
      <vt:lpstr>GFATM Mapping Notes</vt:lpstr>
      <vt:lpstr>Spectrum Inputs</vt:lpstr>
      <vt:lpstr>'Presentation View'!Print_Area</vt:lpstr>
      <vt:lpstr>'Presentation View'!Print_Titles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 Chiwandira</dc:creator>
  <dc:description/>
  <cp:lastModifiedBy>Tiwonge Chimpandule</cp:lastModifiedBy>
  <cp:revision>0</cp:revision>
  <dcterms:created xsi:type="dcterms:W3CDTF">2023-02-15T04:53:30Z</dcterms:created>
  <dcterms:modified xsi:type="dcterms:W3CDTF">2026-08-27T12:03:05Z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0x0101006B26C06F9834D44B9336457645725354</vt:lpwstr>
  </property>
</Properties>
</file>